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34E6F38F-6090-4145-B4E9-EC5D30927620}" xr6:coauthVersionLast="46" xr6:coauthVersionMax="46" xr10:uidLastSave="{00000000-0000-0000-0000-000000000000}"/>
  <bookViews>
    <workbookView xWindow="-108" yWindow="-108" windowWidth="23256" windowHeight="12576" tabRatio="906" firstSheet="1" activeTab="1" xr2:uid="{00000000-000D-0000-FFFF-FFFF00000000}"/>
  </bookViews>
  <sheets>
    <sheet name="000000" sheetId="4" state="veryHidden" r:id="rId1"/>
    <sheet name="Бух баланс" sheetId="2" r:id="rId2"/>
    <sheet name="Мол нат" sheetId="34" r:id="rId3"/>
    <sheet name="Лист1" sheetId="206" state="hidden" r:id="rId4"/>
    <sheet name="25 АПК" sheetId="155" state="hidden" r:id="rId5"/>
    <sheet name="Товар продукц" sheetId="177" state="hidden" r:id="rId6"/>
    <sheet name="Вспом-1" sheetId="178" state="hidden" r:id="rId7"/>
    <sheet name="Вспом-2" sheetId="179" state="hidden" r:id="rId8"/>
    <sheet name="Баланс продукции" sheetId="200" state="hidden" r:id="rId9"/>
    <sheet name="Вспом-1 Ур" sheetId="183" state="hidden" r:id="rId10"/>
    <sheet name="Вспом-2 Ур" sheetId="184" state="hidden" r:id="rId11"/>
    <sheet name="73-ХЛ" sheetId="188" state="hidden" r:id="rId12"/>
    <sheet name="Отклон" sheetId="181" state="hidden" r:id="rId13"/>
    <sheet name="Тех экон пок" sheetId="185" state="hidden" r:id="rId14"/>
    <sheet name="тола бал" sheetId="166" state="hidden" r:id="rId15"/>
    <sheet name="линт бал." sheetId="168" state="hidden" r:id="rId16"/>
    <sheet name="улбк бал." sheetId="170" state="hidden" r:id="rId17"/>
    <sheet name="пух бал." sheetId="172" state="hidden" r:id="rId18"/>
    <sheet name="техчигит бал" sheetId="174" state="hidden" r:id="rId19"/>
    <sheet name="уругл бал" sheetId="176" state="hidden" r:id="rId20"/>
    <sheet name="уруг олди-берди" sheetId="201" state="hidden" r:id="rId21"/>
    <sheet name="уруг хуж" sheetId="202" state="hidden" r:id="rId22"/>
    <sheet name="Мол натга илова" sheetId="109" state="hidden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">#N/A</definedName>
    <definedName name="__">#N/A</definedName>
    <definedName name="___">#N/A</definedName>
    <definedName name="_Begin" localSheetId="13">'[1]Форма №2а'!#REF!</definedName>
    <definedName name="_Begin" localSheetId="20">'[2]Форма №2а'!#REF!</definedName>
    <definedName name="_Begin" localSheetId="21">'[2]Форма №2а'!#REF!</definedName>
    <definedName name="_Begin">'[1]Форма №2а'!#REF!</definedName>
    <definedName name="_End" localSheetId="13">'[1]Форма №2а'!#REF!</definedName>
    <definedName name="_End" localSheetId="20">'[2]Форма №2а'!#REF!</definedName>
    <definedName name="_End" localSheetId="21">'[2]Форма №2а'!#REF!</definedName>
    <definedName name="_End">'[1]Форма №2а'!#REF!</definedName>
    <definedName name="_StartInsert" localSheetId="13">'[1]Форма №2а'!#REF!</definedName>
    <definedName name="_StartInsert" localSheetId="20">'[2]Форма №2а'!#REF!</definedName>
    <definedName name="_StartInsert" localSheetId="21">'[2]Форма №2а'!#REF!</definedName>
    <definedName name="_StartInsert">'[1]Форма №2а'!#REF!</definedName>
    <definedName name="_xlnm._FilterDatabase" localSheetId="8" hidden="1">'Баланс продукции'!$A$8:$AD$8</definedName>
    <definedName name="_xlnm._FilterDatabase" localSheetId="1" hidden="1">'Бух баланс'!#REF!</definedName>
    <definedName name="a_010_03o" localSheetId="20">#REF!</definedName>
    <definedName name="a_010_03o" localSheetId="21">#REF!</definedName>
    <definedName name="a_010_03o">#REF!</definedName>
    <definedName name="a_010_04o" localSheetId="20">#REF!</definedName>
    <definedName name="a_010_04o" localSheetId="21">#REF!</definedName>
    <definedName name="a_010_04o">#REF!</definedName>
    <definedName name="a_010_05o" localSheetId="20">#REF!</definedName>
    <definedName name="a_010_05o" localSheetId="21">#REF!</definedName>
    <definedName name="a_010_05o">#REF!</definedName>
    <definedName name="a_010_06o" localSheetId="20">#REF!</definedName>
    <definedName name="a_010_06o" localSheetId="21">#REF!</definedName>
    <definedName name="a_010_06o">#REF!</definedName>
    <definedName name="a_010_07o" localSheetId="20">#REF!</definedName>
    <definedName name="a_010_07o" localSheetId="21">#REF!</definedName>
    <definedName name="a_010_07o">#REF!</definedName>
    <definedName name="a_010_08o" localSheetId="20">#REF!</definedName>
    <definedName name="a_010_08o" localSheetId="21">#REF!</definedName>
    <definedName name="a_010_08o">#REF!</definedName>
    <definedName name="a_020_03o" localSheetId="20">#REF!</definedName>
    <definedName name="a_020_03o" localSheetId="21">#REF!</definedName>
    <definedName name="a_020_03o">#REF!</definedName>
    <definedName name="a_020_04o" localSheetId="20">#REF!</definedName>
    <definedName name="a_020_04o" localSheetId="21">#REF!</definedName>
    <definedName name="a_020_04o">#REF!</definedName>
    <definedName name="a_020_05o" localSheetId="20">#REF!</definedName>
    <definedName name="a_020_05o" localSheetId="21">#REF!</definedName>
    <definedName name="a_020_05o">#REF!</definedName>
    <definedName name="a_020_06o" localSheetId="20">#REF!</definedName>
    <definedName name="a_020_06o" localSheetId="21">#REF!</definedName>
    <definedName name="a_020_06o">#REF!</definedName>
    <definedName name="a_020_07o" localSheetId="20">#REF!</definedName>
    <definedName name="a_020_07o" localSheetId="21">#REF!</definedName>
    <definedName name="a_020_07o">#REF!</definedName>
    <definedName name="a_020_08o" localSheetId="20">#REF!</definedName>
    <definedName name="a_020_08o" localSheetId="21">#REF!</definedName>
    <definedName name="a_020_08o">#REF!</definedName>
    <definedName name="a_030_03o" localSheetId="20">#REF!</definedName>
    <definedName name="a_030_03o" localSheetId="21">#REF!</definedName>
    <definedName name="a_030_03o">#REF!</definedName>
    <definedName name="a_030_04o" localSheetId="20">#REF!</definedName>
    <definedName name="a_030_04o" localSheetId="21">#REF!</definedName>
    <definedName name="a_030_04o">#REF!</definedName>
    <definedName name="a_030_05o" localSheetId="20">#REF!</definedName>
    <definedName name="a_030_05o" localSheetId="21">#REF!</definedName>
    <definedName name="a_030_05o">#REF!</definedName>
    <definedName name="a_030_06o" localSheetId="20">#REF!</definedName>
    <definedName name="a_030_06o" localSheetId="21">#REF!</definedName>
    <definedName name="a_030_06o">#REF!</definedName>
    <definedName name="a_030_07o" localSheetId="20">#REF!</definedName>
    <definedName name="a_030_07o" localSheetId="21">#REF!</definedName>
    <definedName name="a_030_07o">#REF!</definedName>
    <definedName name="a_030_08o" localSheetId="20">#REF!</definedName>
    <definedName name="a_030_08o" localSheetId="21">#REF!</definedName>
    <definedName name="a_030_08o">#REF!</definedName>
    <definedName name="a_040_04o" localSheetId="20">#REF!</definedName>
    <definedName name="a_040_04o" localSheetId="21">#REF!</definedName>
    <definedName name="a_040_04o">#REF!</definedName>
    <definedName name="a_040_08o" localSheetId="20">#REF!</definedName>
    <definedName name="a_040_08o" localSheetId="21">#REF!</definedName>
    <definedName name="a_040_08o">#REF!</definedName>
    <definedName name="a_050_05o" localSheetId="20">#REF!</definedName>
    <definedName name="a_050_05o" localSheetId="21">#REF!</definedName>
    <definedName name="a_050_05o">#REF!</definedName>
    <definedName name="a_050_07o" localSheetId="20">#REF!</definedName>
    <definedName name="a_050_07o" localSheetId="21">#REF!</definedName>
    <definedName name="a_050_07o">#REF!</definedName>
    <definedName name="a_050_08o" localSheetId="20">#REF!</definedName>
    <definedName name="a_050_08o" localSheetId="21">#REF!</definedName>
    <definedName name="a_050_08o">#REF!</definedName>
    <definedName name="a_060_03o" localSheetId="20">#REF!</definedName>
    <definedName name="a_060_03o" localSheetId="21">#REF!</definedName>
    <definedName name="a_060_03o">#REF!</definedName>
    <definedName name="a_060_04o" localSheetId="20">#REF!</definedName>
    <definedName name="a_060_04o" localSheetId="21">#REF!</definedName>
    <definedName name="a_060_04o">#REF!</definedName>
    <definedName name="a_060_05o" localSheetId="20">#REF!</definedName>
    <definedName name="a_060_05o" localSheetId="21">#REF!</definedName>
    <definedName name="a_060_05o">#REF!</definedName>
    <definedName name="a_060_06o" localSheetId="20">#REF!</definedName>
    <definedName name="a_060_06o" localSheetId="21">#REF!</definedName>
    <definedName name="a_060_06o">#REF!</definedName>
    <definedName name="a_060_07o" localSheetId="20">#REF!</definedName>
    <definedName name="a_060_07o" localSheetId="21">#REF!</definedName>
    <definedName name="a_060_07o">#REF!</definedName>
    <definedName name="a_060_08o" localSheetId="20">#REF!</definedName>
    <definedName name="a_060_08o" localSheetId="21">#REF!</definedName>
    <definedName name="a_060_08o">#REF!</definedName>
    <definedName name="a_070_08o" localSheetId="20">#REF!</definedName>
    <definedName name="a_070_08o" localSheetId="21">#REF!</definedName>
    <definedName name="a_070_08o">#REF!</definedName>
    <definedName name="a_080_03o" localSheetId="20">#REF!</definedName>
    <definedName name="a_080_03o" localSheetId="21">#REF!</definedName>
    <definedName name="a_080_03o">#REF!</definedName>
    <definedName name="a_080_04o" localSheetId="20">#REF!</definedName>
    <definedName name="a_080_04o" localSheetId="21">#REF!</definedName>
    <definedName name="a_080_04o">#REF!</definedName>
    <definedName name="a_080_05o" localSheetId="20">#REF!</definedName>
    <definedName name="a_080_05o" localSheetId="21">#REF!</definedName>
    <definedName name="a_080_05o">#REF!</definedName>
    <definedName name="a_080_06o" localSheetId="20">#REF!</definedName>
    <definedName name="a_080_06o" localSheetId="21">#REF!</definedName>
    <definedName name="a_080_06o">#REF!</definedName>
    <definedName name="a_080_07o" localSheetId="20">#REF!</definedName>
    <definedName name="a_080_07o" localSheetId="21">#REF!</definedName>
    <definedName name="a_080_07o">#REF!</definedName>
    <definedName name="a_080_08o" localSheetId="20">#REF!</definedName>
    <definedName name="a_080_08o" localSheetId="21">#REF!</definedName>
    <definedName name="a_080_08o">#REF!</definedName>
    <definedName name="a_090_08o" localSheetId="20">#REF!</definedName>
    <definedName name="a_090_08o" localSheetId="21">#REF!</definedName>
    <definedName name="a_090_08o">#REF!</definedName>
    <definedName name="a_100_08o" localSheetId="20">#REF!</definedName>
    <definedName name="a_100_08o" localSheetId="21">#REF!</definedName>
    <definedName name="a_100_08o">#REF!</definedName>
    <definedName name="a_101_08o" localSheetId="20">#REF!</definedName>
    <definedName name="a_101_08o" localSheetId="21">#REF!</definedName>
    <definedName name="a_101_08o">#REF!</definedName>
    <definedName name="a_102_08o" localSheetId="20">#REF!</definedName>
    <definedName name="a_102_08o" localSheetId="21">#REF!</definedName>
    <definedName name="a_102_08o">#REF!</definedName>
    <definedName name="a_110_08o" localSheetId="20">#REF!</definedName>
    <definedName name="a_110_08o" localSheetId="21">#REF!</definedName>
    <definedName name="a_110_08o">#REF!</definedName>
    <definedName name="a_111_08o" localSheetId="20">#REF!</definedName>
    <definedName name="a_111_08o" localSheetId="21">#REF!</definedName>
    <definedName name="a_111_08o">#REF!</definedName>
    <definedName name="a_112_08o" localSheetId="20">#REF!</definedName>
    <definedName name="a_112_08o" localSheetId="21">#REF!</definedName>
    <definedName name="a_112_08o">#REF!</definedName>
    <definedName name="a_120_08o" localSheetId="20">#REF!</definedName>
    <definedName name="a_120_08o" localSheetId="21">#REF!</definedName>
    <definedName name="a_120_08o">#REF!</definedName>
    <definedName name="a_121_08o" localSheetId="20">#REF!</definedName>
    <definedName name="a_121_08o" localSheetId="21">#REF!</definedName>
    <definedName name="a_121_08o">#REF!</definedName>
    <definedName name="a_122_08o" localSheetId="20">#REF!</definedName>
    <definedName name="a_122_08o" localSheetId="21">#REF!</definedName>
    <definedName name="a_122_08o">#REF!</definedName>
    <definedName name="BeginDebKred" localSheetId="13">'[1]Форма №2а'!#REF!</definedName>
    <definedName name="BeginDebKred" localSheetId="20">'[2]Форма №2а'!#REF!</definedName>
    <definedName name="BeginDebKred" localSheetId="21">'[2]Форма №2а'!#REF!</definedName>
    <definedName name="BeginDebKred">'[1]Форма №2а'!#REF!</definedName>
    <definedName name="cntNumber" localSheetId="20">'[3]Счет-Фактура'!#REF!</definedName>
    <definedName name="cntNumber" localSheetId="21">'[3]Счет-Фактура'!#REF!</definedName>
    <definedName name="cntNumber">'[3]Счет-Фактура'!#REF!</definedName>
    <definedName name="cntPayerCountCor" localSheetId="20">'[3]Счет-Фактура'!#REF!</definedName>
    <definedName name="cntPayerCountCor" localSheetId="21">'[3]Счет-Фактура'!#REF!</definedName>
    <definedName name="cntPayerCountCor">'[3]Счет-Фактура'!#REF!</definedName>
    <definedName name="cntQnt" localSheetId="21">'[3]Счет-Фактура'!#REF!</definedName>
    <definedName name="cntQnt">'[3]Счет-Фактура'!#REF!</definedName>
    <definedName name="cntSuppAddr2" localSheetId="21">'[3]Счет-Фактура'!#REF!</definedName>
    <definedName name="cntSuppAddr2">'[3]Счет-Фактура'!#REF!</definedName>
    <definedName name="cntSuppMFO1" localSheetId="21">'[3]Счет-Фактура'!#REF!</definedName>
    <definedName name="cntSuppMFO1">'[3]Счет-Фактура'!#REF!</definedName>
    <definedName name="cntUnit" localSheetId="21">'[3]Счет-Фактура'!#REF!</definedName>
    <definedName name="cntUnit">'[3]Счет-Фактура'!#REF!</definedName>
    <definedName name="elkAddr1" localSheetId="20">#REF!</definedName>
    <definedName name="elkAddr1" localSheetId="21">#REF!</definedName>
    <definedName name="elkAddr1">#REF!</definedName>
    <definedName name="elkAddr2" localSheetId="20">#REF!</definedName>
    <definedName name="elkAddr2" localSheetId="21">#REF!</definedName>
    <definedName name="elkAddr2">#REF!</definedName>
    <definedName name="elkCount" localSheetId="20">#REF!</definedName>
    <definedName name="elkCount" localSheetId="21">#REF!</definedName>
    <definedName name="elkCount">#REF!</definedName>
    <definedName name="elkCountFrom" localSheetId="20">#REF!</definedName>
    <definedName name="elkCountFrom" localSheetId="21">#REF!</definedName>
    <definedName name="elkCountFrom">#REF!</definedName>
    <definedName name="elkCountTo" localSheetId="20">#REF!</definedName>
    <definedName name="elkCountTo" localSheetId="21">#REF!</definedName>
    <definedName name="elkCountTo">#REF!</definedName>
    <definedName name="elkDateFrom" localSheetId="20">#REF!</definedName>
    <definedName name="elkDateFrom" localSheetId="21">#REF!</definedName>
    <definedName name="elkDateFrom">#REF!</definedName>
    <definedName name="elkDateTo" localSheetId="20">#REF!</definedName>
    <definedName name="elkDateTo" localSheetId="21">#REF!</definedName>
    <definedName name="elkDateTo">#REF!</definedName>
    <definedName name="elkDiscount" localSheetId="20">#REF!</definedName>
    <definedName name="elkDiscount" localSheetId="21">#REF!</definedName>
    <definedName name="elkDiscount">#REF!</definedName>
    <definedName name="elkKAddr1" localSheetId="20">#REF!</definedName>
    <definedName name="elkKAddr1" localSheetId="21">#REF!</definedName>
    <definedName name="elkKAddr1">#REF!</definedName>
    <definedName name="elkKAddr2" localSheetId="20">#REF!</definedName>
    <definedName name="elkKAddr2" localSheetId="21">#REF!</definedName>
    <definedName name="elkKAddr2">#REF!</definedName>
    <definedName name="elkKCount" localSheetId="20">#REF!</definedName>
    <definedName name="elkKCount" localSheetId="21">#REF!</definedName>
    <definedName name="elkKCount">#REF!</definedName>
    <definedName name="elkKCountFrom" localSheetId="20">#REF!</definedName>
    <definedName name="elkKCountFrom" localSheetId="21">#REF!</definedName>
    <definedName name="elkKCountFrom">#REF!</definedName>
    <definedName name="elkKCountTo" localSheetId="20">#REF!</definedName>
    <definedName name="elkKCountTo" localSheetId="21">#REF!</definedName>
    <definedName name="elkKCountTo">#REF!</definedName>
    <definedName name="elkKDateFrom" localSheetId="20">#REF!</definedName>
    <definedName name="elkKDateFrom" localSheetId="21">#REF!</definedName>
    <definedName name="elkKDateFrom">#REF!</definedName>
    <definedName name="elkKDateTo" localSheetId="20">#REF!</definedName>
    <definedName name="elkKDateTo" localSheetId="21">#REF!</definedName>
    <definedName name="elkKDateTo">#REF!</definedName>
    <definedName name="elkKDiscount" localSheetId="20">#REF!</definedName>
    <definedName name="elkKDiscount" localSheetId="21">#REF!</definedName>
    <definedName name="elkKDiscount">#REF!</definedName>
    <definedName name="elkKNumber" localSheetId="20">#REF!</definedName>
    <definedName name="elkKNumber" localSheetId="21">#REF!</definedName>
    <definedName name="elkKNumber">#REF!</definedName>
    <definedName name="elkKSumC" localSheetId="20">#REF!</definedName>
    <definedName name="elkKSumC" localSheetId="21">#REF!</definedName>
    <definedName name="elkKSumC">#REF!</definedName>
    <definedName name="elkKSumR" localSheetId="20">#REF!</definedName>
    <definedName name="elkKSumR" localSheetId="21">#REF!</definedName>
    <definedName name="elkKSumR">#REF!</definedName>
    <definedName name="elkKTarif" localSheetId="20">#REF!</definedName>
    <definedName name="elkKTarif" localSheetId="21">#REF!</definedName>
    <definedName name="elkKTarif">#REF!</definedName>
    <definedName name="elkNumber" localSheetId="20">#REF!</definedName>
    <definedName name="elkNumber" localSheetId="21">#REF!</definedName>
    <definedName name="elkNumber">#REF!</definedName>
    <definedName name="elkSumC" localSheetId="20">#REF!</definedName>
    <definedName name="elkSumC" localSheetId="21">#REF!</definedName>
    <definedName name="elkSumC">#REF!</definedName>
    <definedName name="elkSumR" localSheetId="20">#REF!</definedName>
    <definedName name="elkSumR" localSheetId="21">#REF!</definedName>
    <definedName name="elkSumR">#REF!</definedName>
    <definedName name="elkTarif" localSheetId="20">#REF!</definedName>
    <definedName name="elkTarif" localSheetId="21">#REF!</definedName>
    <definedName name="elkTarif">#REF!</definedName>
    <definedName name="FFFF">#N/A</definedName>
    <definedName name="InnCol" localSheetId="20">'[2]Форма №2а'!$A$2,'[2]Форма №2а'!$C$1:$C$65536</definedName>
    <definedName name="InnCol" localSheetId="21">'[2]Форма №2а'!$A$2,'[2]Форма №2а'!$C$1:$C$65536</definedName>
    <definedName name="InnCol">'[1]Форма №2а'!$A$2,'[1]Форма №2а'!$C$1:$C$65536</definedName>
    <definedName name="StartDebCred" localSheetId="13">'[1]Форма №2а'!#REF!</definedName>
    <definedName name="StartDebCred" localSheetId="20">'[2]Форма №2а'!#REF!</definedName>
    <definedName name="StartDebCred" localSheetId="21">'[2]Форма №2а'!#REF!</definedName>
    <definedName name="StartDebCred">'[1]Форма №2а'!#REF!</definedName>
    <definedName name="А" localSheetId="8">#REF!</definedName>
    <definedName name="А" localSheetId="20">#REF!</definedName>
    <definedName name="А" localSheetId="21">#REF!</definedName>
    <definedName name="А">#REF!</definedName>
    <definedName name="_xlnm.Print_Titles" localSheetId="2">'Мол нат'!$A:$A</definedName>
    <definedName name="_xlnm.Print_Titles" localSheetId="22">'Мол натга илова'!$A:$A</definedName>
    <definedName name="_xlnm.Print_Titles" localSheetId="20">'уруг олди-берди'!$5:$5</definedName>
    <definedName name="_xlnm.Print_Titles" localSheetId="21">'уруг хуж'!$5:$5</definedName>
    <definedName name="_xlnm.Print_Area" localSheetId="4">'25 АПК'!#REF!</definedName>
    <definedName name="_xlnm.Print_Area" localSheetId="11">'73-ХЛ'!$A$1:$J$432</definedName>
    <definedName name="_xlnm.Print_Area" localSheetId="6">'Вспом-1'!#REF!</definedName>
    <definedName name="_xlnm.Print_Area" localSheetId="9">'Вспом-1 Ур'!#REF!</definedName>
    <definedName name="_xlnm.Print_Area" localSheetId="7">'Вспом-2'!$A$2:$W$13</definedName>
    <definedName name="_xlnm.Print_Area" localSheetId="10">'Вспом-2 Ур'!$A$2:$W$13</definedName>
    <definedName name="_xlnm.Print_Area" localSheetId="22">'Мол натга илова'!$A$2:$F$33</definedName>
    <definedName name="_xlnm.Print_Area" localSheetId="12">Отклон!$A$2:$D$38</definedName>
    <definedName name="_xlnm.Print_Area" localSheetId="13">'Тех экон пок'!$A$2:$BD$14</definedName>
    <definedName name="_xlnm.Print_Area" localSheetId="5">'Товар продукц'!#REF!</definedName>
  </definedNames>
  <calcPr calcId="191029"/>
</workbook>
</file>

<file path=xl/calcChain.xml><?xml version="1.0" encoding="utf-8"?>
<calcChain xmlns="http://schemas.openxmlformats.org/spreadsheetml/2006/main">
  <c r="AQ136" i="155" l="1"/>
  <c r="AK136" i="155"/>
  <c r="AM135" i="155"/>
  <c r="AN135" i="155" s="1"/>
  <c r="AM134" i="155"/>
  <c r="AM133" i="155"/>
  <c r="AN133" i="155" s="1"/>
  <c r="AM132" i="155"/>
  <c r="AN132" i="155" s="1"/>
  <c r="AM131" i="155"/>
  <c r="AN131" i="155" s="1"/>
  <c r="AO131" i="155" s="1"/>
  <c r="AO130" i="155"/>
  <c r="AN130" i="155"/>
  <c r="AM130" i="155"/>
  <c r="AL130" i="155"/>
  <c r="AL136" i="155"/>
  <c r="AM129" i="155"/>
  <c r="AN129" i="155" s="1"/>
  <c r="AM128" i="155"/>
  <c r="AN128" i="155" s="1"/>
  <c r="AM127" i="155"/>
  <c r="AN127" i="155" s="1"/>
  <c r="AM126" i="155"/>
  <c r="AN126" i="155"/>
  <c r="AM125" i="155"/>
  <c r="AN125" i="155" s="1"/>
  <c r="AM124" i="155"/>
  <c r="AN124" i="155" s="1"/>
  <c r="AM123" i="155"/>
  <c r="AN123" i="155" s="1"/>
  <c r="AM122" i="155"/>
  <c r="AN122" i="155"/>
  <c r="AH122" i="155"/>
  <c r="AH123" i="155" s="1"/>
  <c r="AH124" i="155" s="1"/>
  <c r="AH125" i="155" s="1"/>
  <c r="AH126" i="155" s="1"/>
  <c r="AH127" i="155" s="1"/>
  <c r="AH128" i="155" s="1"/>
  <c r="AH129" i="155" s="1"/>
  <c r="AH130" i="155" s="1"/>
  <c r="AH131" i="155" s="1"/>
  <c r="AH132" i="155" s="1"/>
  <c r="AH133" i="155" s="1"/>
  <c r="AH134" i="155" s="1"/>
  <c r="AH135" i="155" s="1"/>
  <c r="AM121" i="155"/>
  <c r="AN121" i="155"/>
  <c r="AM119" i="155"/>
  <c r="AN119" i="155" s="1"/>
  <c r="AM118" i="155"/>
  <c r="AN118" i="155" s="1"/>
  <c r="AQ117" i="155"/>
  <c r="AK117" i="155"/>
  <c r="AN116" i="155"/>
  <c r="AO116" i="155"/>
  <c r="AP116" i="155" s="1"/>
  <c r="AO115" i="155"/>
  <c r="AL115" i="155"/>
  <c r="AL117" i="155"/>
  <c r="AP114" i="155"/>
  <c r="AQ113" i="155"/>
  <c r="AN113" i="155"/>
  <c r="AL113" i="155"/>
  <c r="AM112" i="155"/>
  <c r="AM113" i="155"/>
  <c r="AK112" i="155"/>
  <c r="AK113" i="155" s="1"/>
  <c r="AQ111" i="155"/>
  <c r="AO110" i="155"/>
  <c r="AP110" i="155"/>
  <c r="AP109" i="155"/>
  <c r="AN109" i="155"/>
  <c r="AM109" i="155"/>
  <c r="AE109" i="155"/>
  <c r="AB109" i="155" s="1"/>
  <c r="AO108" i="155"/>
  <c r="AP108" i="155"/>
  <c r="AK108" i="155"/>
  <c r="AO107" i="155"/>
  <c r="AL107" i="155"/>
  <c r="AK107" i="155"/>
  <c r="AO106" i="155"/>
  <c r="AP106" i="155" s="1"/>
  <c r="AL106" i="155"/>
  <c r="AK106" i="155"/>
  <c r="AO105" i="155"/>
  <c r="AL105" i="155"/>
  <c r="AL111" i="155"/>
  <c r="AA111" i="155"/>
  <c r="AA117" i="155" s="1"/>
  <c r="AK105" i="155"/>
  <c r="AQ103" i="155"/>
  <c r="AQ102" i="155"/>
  <c r="AN102" i="155"/>
  <c r="AQ101" i="155"/>
  <c r="AQ100" i="155"/>
  <c r="AQ99" i="155"/>
  <c r="AQ98" i="155"/>
  <c r="AO97" i="155"/>
  <c r="AP97" i="155" s="1"/>
  <c r="AN97" i="155"/>
  <c r="AN103" i="155"/>
  <c r="AL97" i="155"/>
  <c r="AK97" i="155"/>
  <c r="AK103" i="155"/>
  <c r="AO96" i="155"/>
  <c r="AK96" i="155"/>
  <c r="AK102" i="155" s="1"/>
  <c r="AO95" i="155"/>
  <c r="AN95" i="155"/>
  <c r="AM95" i="155" s="1"/>
  <c r="AN101" i="155"/>
  <c r="AK95" i="155"/>
  <c r="AK101" i="155" s="1"/>
  <c r="AO94" i="155"/>
  <c r="AN94" i="155"/>
  <c r="AN100" i="155" s="1"/>
  <c r="AM94" i="155"/>
  <c r="AK94" i="155"/>
  <c r="AK100" i="155" s="1"/>
  <c r="AO93" i="155"/>
  <c r="AO98" i="155" s="1"/>
  <c r="AN93" i="155"/>
  <c r="AN99" i="155" s="1"/>
  <c r="AK93" i="155"/>
  <c r="AQ92" i="155"/>
  <c r="AN92" i="155"/>
  <c r="AO91" i="155"/>
  <c r="AM91" i="155" s="1"/>
  <c r="AP90" i="155"/>
  <c r="AO90" i="155"/>
  <c r="AM90" i="155" s="1"/>
  <c r="AL90" i="155"/>
  <c r="AO89" i="155"/>
  <c r="AM89" i="155" s="1"/>
  <c r="AM101" i="155" s="1"/>
  <c r="AL89" i="155"/>
  <c r="AP89" i="155" s="1"/>
  <c r="AP88" i="155"/>
  <c r="AO88" i="155"/>
  <c r="AM88" i="155"/>
  <c r="AM100" i="155" s="1"/>
  <c r="AL88" i="155"/>
  <c r="AO87" i="155"/>
  <c r="AO92" i="155"/>
  <c r="AK87" i="155"/>
  <c r="AK92" i="155" s="1"/>
  <c r="AN219" i="155"/>
  <c r="AH219" i="155"/>
  <c r="AJ218" i="155"/>
  <c r="AK218" i="155" s="1"/>
  <c r="AK217" i="155"/>
  <c r="AJ217" i="155"/>
  <c r="AJ216" i="155"/>
  <c r="AK216" i="155"/>
  <c r="AJ215" i="155"/>
  <c r="AJ214" i="155"/>
  <c r="AK214" i="155"/>
  <c r="AL213" i="155"/>
  <c r="AK213" i="155"/>
  <c r="AJ213" i="155" s="1"/>
  <c r="AI213" i="155"/>
  <c r="AI219" i="155"/>
  <c r="AJ212" i="155"/>
  <c r="AJ211" i="155"/>
  <c r="AK211" i="155"/>
  <c r="AJ210" i="155"/>
  <c r="AK210" i="155" s="1"/>
  <c r="AJ209" i="155"/>
  <c r="AK209" i="155" s="1"/>
  <c r="AJ208" i="155"/>
  <c r="AJ207" i="155"/>
  <c r="AK207" i="155"/>
  <c r="AK206" i="155"/>
  <c r="AJ206" i="155"/>
  <c r="AJ205" i="155"/>
  <c r="AK205" i="155" s="1"/>
  <c r="AL205" i="155" s="1"/>
  <c r="AE205" i="155"/>
  <c r="AE206" i="155"/>
  <c r="AE207" i="155" s="1"/>
  <c r="AE208" i="155" s="1"/>
  <c r="AE209" i="155"/>
  <c r="AE210" i="155" s="1"/>
  <c r="AE211" i="155" s="1"/>
  <c r="AE212" i="155" s="1"/>
  <c r="AE213" i="155" s="1"/>
  <c r="AE214" i="155" s="1"/>
  <c r="AE215" i="155" s="1"/>
  <c r="AE216" i="155" s="1"/>
  <c r="AE217" i="155" s="1"/>
  <c r="AE218" i="155" s="1"/>
  <c r="AJ204" i="155"/>
  <c r="AK204" i="155" s="1"/>
  <c r="AJ202" i="155"/>
  <c r="AK202" i="155"/>
  <c r="AJ201" i="155"/>
  <c r="AK201" i="155"/>
  <c r="AN200" i="155"/>
  <c r="AH200" i="155"/>
  <c r="AK199" i="155"/>
  <c r="AL199" i="155" s="1"/>
  <c r="AM199" i="155" s="1"/>
  <c r="AL198" i="155"/>
  <c r="AL200" i="155" s="1"/>
  <c r="AI198" i="155"/>
  <c r="AI200" i="155"/>
  <c r="AM197" i="155"/>
  <c r="AN196" i="155"/>
  <c r="AK196" i="155"/>
  <c r="AI196" i="155"/>
  <c r="AJ195" i="155"/>
  <c r="AJ196" i="155"/>
  <c r="AH195" i="155"/>
  <c r="AH196" i="155"/>
  <c r="AN194" i="155"/>
  <c r="AL193" i="155"/>
  <c r="AM193" i="155" s="1"/>
  <c r="AM192" i="155"/>
  <c r="AK192" i="155"/>
  <c r="AJ192" i="155"/>
  <c r="AL191" i="155"/>
  <c r="AM191" i="155"/>
  <c r="AH191" i="155"/>
  <c r="AL190" i="155"/>
  <c r="AK190" i="155" s="1"/>
  <c r="AJ190" i="155" s="1"/>
  <c r="AI190" i="155"/>
  <c r="AM190" i="155"/>
  <c r="AH190" i="155"/>
  <c r="AL189" i="155"/>
  <c r="AI189" i="155"/>
  <c r="AH189" i="155"/>
  <c r="AL188" i="155"/>
  <c r="AK188" i="155"/>
  <c r="AI188" i="155"/>
  <c r="AH188" i="155"/>
  <c r="AH194" i="155" s="1"/>
  <c r="AN186" i="155"/>
  <c r="AN185" i="155"/>
  <c r="AK185" i="155"/>
  <c r="AN184" i="155"/>
  <c r="AN183" i="155"/>
  <c r="AN187" i="155" s="1"/>
  <c r="AN203" i="155" s="1"/>
  <c r="AN220" i="155" s="1"/>
  <c r="AN182" i="155"/>
  <c r="AN181" i="155"/>
  <c r="AL180" i="155"/>
  <c r="AK180" i="155"/>
  <c r="AJ180" i="155" s="1"/>
  <c r="AK186" i="155"/>
  <c r="AH180" i="155"/>
  <c r="AL179" i="155"/>
  <c r="AH179" i="155"/>
  <c r="AH185" i="155"/>
  <c r="AL178" i="155"/>
  <c r="AI178" i="155" s="1"/>
  <c r="AK178" i="155"/>
  <c r="AK184" i="155" s="1"/>
  <c r="AH178" i="155"/>
  <c r="AH184" i="155" s="1"/>
  <c r="AL177" i="155"/>
  <c r="AI177" i="155" s="1"/>
  <c r="AK177" i="155"/>
  <c r="AK183" i="155"/>
  <c r="AK187" i="155" s="1"/>
  <c r="AH177" i="155"/>
  <c r="AH183" i="155"/>
  <c r="AL176" i="155"/>
  <c r="AI176" i="155" s="1"/>
  <c r="AK176" i="155"/>
  <c r="AK182" i="155"/>
  <c r="AH176" i="155"/>
  <c r="AN175" i="155"/>
  <c r="AK175" i="155"/>
  <c r="AL174" i="155"/>
  <c r="AL186" i="155"/>
  <c r="AL173" i="155"/>
  <c r="AL172" i="155"/>
  <c r="AL184" i="155" s="1"/>
  <c r="AL171" i="155"/>
  <c r="AL183" i="155" s="1"/>
  <c r="AL170" i="155"/>
  <c r="AH170" i="155"/>
  <c r="AH182" i="155" s="1"/>
  <c r="AG151" i="155"/>
  <c r="AA151" i="155"/>
  <c r="AC150" i="155"/>
  <c r="AC149" i="155"/>
  <c r="AC148" i="155"/>
  <c r="AC147" i="155"/>
  <c r="AC146" i="155"/>
  <c r="AE145" i="155"/>
  <c r="AB145" i="155"/>
  <c r="AB151" i="155" s="1"/>
  <c r="AD144" i="155"/>
  <c r="AC144" i="155"/>
  <c r="AC143" i="155"/>
  <c r="AD143" i="155" s="1"/>
  <c r="AD142" i="155"/>
  <c r="AC142" i="155"/>
  <c r="AD141" i="155"/>
  <c r="AC141" i="155"/>
  <c r="AD140" i="155"/>
  <c r="AC140" i="155"/>
  <c r="AC139" i="155"/>
  <c r="AD139" i="155" s="1"/>
  <c r="AE139" i="155" s="1"/>
  <c r="AD138" i="155"/>
  <c r="AE138" i="155" s="1"/>
  <c r="AC138" i="155"/>
  <c r="AD137" i="155"/>
  <c r="AC137" i="155"/>
  <c r="X137" i="155"/>
  <c r="X138" i="155" s="1"/>
  <c r="X139" i="155" s="1"/>
  <c r="X140" i="155" s="1"/>
  <c r="X141" i="155"/>
  <c r="X142" i="155" s="1"/>
  <c r="X143" i="155" s="1"/>
  <c r="X144" i="155" s="1"/>
  <c r="X145" i="155" s="1"/>
  <c r="X146" i="155" s="1"/>
  <c r="X147" i="155" s="1"/>
  <c r="X148" i="155" s="1"/>
  <c r="X149" i="155" s="1"/>
  <c r="X150" i="155" s="1"/>
  <c r="AC136" i="155"/>
  <c r="AC134" i="155"/>
  <c r="AC133" i="155"/>
  <c r="AG132" i="155"/>
  <c r="AA132" i="155"/>
  <c r="AD131" i="155"/>
  <c r="AE131" i="155"/>
  <c r="AF131" i="155" s="1"/>
  <c r="AE130" i="155"/>
  <c r="AF129" i="155"/>
  <c r="AG128" i="155"/>
  <c r="AD128" i="155"/>
  <c r="AB128" i="155"/>
  <c r="AC127" i="155"/>
  <c r="AC128" i="155"/>
  <c r="AA127" i="155"/>
  <c r="AA128" i="155" s="1"/>
  <c r="AG126" i="155"/>
  <c r="AE125" i="155"/>
  <c r="AF125" i="155"/>
  <c r="AF124" i="155"/>
  <c r="AD124" i="155"/>
  <c r="AC124" i="155"/>
  <c r="AE123" i="155"/>
  <c r="AA123" i="155"/>
  <c r="AE122" i="155"/>
  <c r="AA122" i="155"/>
  <c r="AE121" i="155"/>
  <c r="AD121" i="155" s="1"/>
  <c r="AC121" i="155" s="1"/>
  <c r="AA121" i="155"/>
  <c r="AE120" i="155"/>
  <c r="AA120" i="155"/>
  <c r="AA126" i="155" s="1"/>
  <c r="AG118" i="155"/>
  <c r="AG117" i="155"/>
  <c r="AD117" i="155"/>
  <c r="AG116" i="155"/>
  <c r="AG115" i="155"/>
  <c r="AG119" i="155" s="1"/>
  <c r="AG135" i="155" s="1"/>
  <c r="AG152" i="155" s="1"/>
  <c r="AG114" i="155"/>
  <c r="AG113" i="155"/>
  <c r="AE112" i="155"/>
  <c r="AD112" i="155"/>
  <c r="AD118" i="155"/>
  <c r="AA112" i="155"/>
  <c r="AA118" i="155"/>
  <c r="AA110" i="155"/>
  <c r="AA116" i="155" s="1"/>
  <c r="AD109" i="155"/>
  <c r="AD115" i="155"/>
  <c r="AA109" i="155"/>
  <c r="AA115" i="155"/>
  <c r="AA108" i="155"/>
  <c r="AA113" i="155"/>
  <c r="AG107" i="155"/>
  <c r="AD107" i="155"/>
  <c r="AE106" i="155"/>
  <c r="AC106" i="155"/>
  <c r="AB106" i="155"/>
  <c r="AB118" i="155" s="1"/>
  <c r="AE105" i="155"/>
  <c r="AE104" i="155"/>
  <c r="AE103" i="155"/>
  <c r="AB103" i="155"/>
  <c r="AB115" i="155" s="1"/>
  <c r="AE102" i="155"/>
  <c r="AA102" i="155"/>
  <c r="AA114" i="155"/>
  <c r="AA119" i="155" s="1"/>
  <c r="AO123" i="155"/>
  <c r="AP123" i="155"/>
  <c r="AO127" i="155"/>
  <c r="AP127" i="155" s="1"/>
  <c r="AO134" i="155"/>
  <c r="AP134" i="155" s="1"/>
  <c r="AD125" i="155"/>
  <c r="AC125" i="155"/>
  <c r="AD133" i="155"/>
  <c r="AE133" i="155" s="1"/>
  <c r="AE137" i="155"/>
  <c r="AE140" i="155"/>
  <c r="AF140" i="155" s="1"/>
  <c r="AE141" i="155"/>
  <c r="AE142" i="155"/>
  <c r="AF142" i="155" s="1"/>
  <c r="AE143" i="155"/>
  <c r="AE144" i="155"/>
  <c r="AI170" i="155"/>
  <c r="AI171" i="155"/>
  <c r="AI172" i="155"/>
  <c r="AI173" i="155"/>
  <c r="AI174" i="155"/>
  <c r="AH175" i="155"/>
  <c r="AI179" i="155"/>
  <c r="AH181" i="155"/>
  <c r="AL194" i="155"/>
  <c r="AK193" i="155"/>
  <c r="AJ193" i="155" s="1"/>
  <c r="AL206" i="155"/>
  <c r="AM206" i="155" s="1"/>
  <c r="AK208" i="155"/>
  <c r="AL208" i="155" s="1"/>
  <c r="AM208" i="155"/>
  <c r="AL210" i="155"/>
  <c r="AM210" i="155" s="1"/>
  <c r="AK212" i="155"/>
  <c r="AL212" i="155" s="1"/>
  <c r="AM212" i="155" s="1"/>
  <c r="AK215" i="155"/>
  <c r="AL215" i="155"/>
  <c r="AM215" i="155" s="1"/>
  <c r="AL217" i="155"/>
  <c r="AM217" i="155"/>
  <c r="AO100" i="155"/>
  <c r="AO101" i="155"/>
  <c r="AO102" i="155"/>
  <c r="AK98" i="155"/>
  <c r="AN104" i="155"/>
  <c r="AM96" i="155"/>
  <c r="AM102" i="155"/>
  <c r="AQ104" i="155"/>
  <c r="AQ120" i="155" s="1"/>
  <c r="AQ137" i="155"/>
  <c r="AK111" i="155"/>
  <c r="AP105" i="155"/>
  <c r="AP107" i="155"/>
  <c r="AN108" i="155"/>
  <c r="AO125" i="155"/>
  <c r="AP125" i="155" s="1"/>
  <c r="AO129" i="155"/>
  <c r="AP129" i="155"/>
  <c r="AO132" i="155"/>
  <c r="AP132" i="155"/>
  <c r="AN134" i="155"/>
  <c r="AN136" i="155"/>
  <c r="AN98" i="155"/>
  <c r="AK99" i="155"/>
  <c r="AK104" i="155" s="1"/>
  <c r="AO99" i="155"/>
  <c r="AO111" i="155"/>
  <c r="AO118" i="155"/>
  <c r="AP118" i="155" s="1"/>
  <c r="AO119" i="155"/>
  <c r="AP119" i="155" s="1"/>
  <c r="AO121" i="155"/>
  <c r="AO122" i="155"/>
  <c r="AO124" i="155"/>
  <c r="AB122" i="155" s="1"/>
  <c r="AO126" i="155"/>
  <c r="AP126" i="155" s="1"/>
  <c r="AO128" i="155"/>
  <c r="AP128" i="155" s="1"/>
  <c r="AP130" i="155"/>
  <c r="AO133" i="155"/>
  <c r="AP133" i="155"/>
  <c r="AO135" i="155"/>
  <c r="AP135" i="155"/>
  <c r="AM136" i="155"/>
  <c r="AF103" i="155"/>
  <c r="AL93" i="155"/>
  <c r="AL94" i="155"/>
  <c r="AP94" i="155" s="1"/>
  <c r="AP100" i="155" s="1"/>
  <c r="AL95" i="155"/>
  <c r="AP95" i="155"/>
  <c r="AM97" i="155"/>
  <c r="AM103" i="155"/>
  <c r="AN105" i="155"/>
  <c r="AM105" i="155" s="1"/>
  <c r="AN106" i="155"/>
  <c r="AM106" i="155" s="1"/>
  <c r="AM111" i="155" s="1"/>
  <c r="AE111" i="155" s="1"/>
  <c r="AN107" i="155"/>
  <c r="AM107" i="155" s="1"/>
  <c r="AN110" i="155"/>
  <c r="AO112" i="155"/>
  <c r="AN115" i="155"/>
  <c r="AM115" i="155" s="1"/>
  <c r="AM117" i="155" s="1"/>
  <c r="AP115" i="155"/>
  <c r="AP117" i="155"/>
  <c r="AK219" i="155"/>
  <c r="AJ170" i="155"/>
  <c r="AJ171" i="155"/>
  <c r="AJ172" i="155"/>
  <c r="AM172" i="155"/>
  <c r="AJ173" i="155"/>
  <c r="AJ174" i="155"/>
  <c r="AJ186" i="155"/>
  <c r="AM174" i="155"/>
  <c r="AJ176" i="155"/>
  <c r="AJ177" i="155"/>
  <c r="AJ183" i="155" s="1"/>
  <c r="AJ178" i="155"/>
  <c r="AJ184" i="155" s="1"/>
  <c r="AJ179" i="155"/>
  <c r="AM179" i="155"/>
  <c r="AI180" i="155"/>
  <c r="AI186" i="155"/>
  <c r="AK181" i="155"/>
  <c r="AL182" i="155"/>
  <c r="AH186" i="155"/>
  <c r="AH187" i="155" s="1"/>
  <c r="AJ188" i="155"/>
  <c r="AK191" i="155"/>
  <c r="AJ191" i="155"/>
  <c r="AL201" i="155"/>
  <c r="AM201" i="155"/>
  <c r="AL202" i="155"/>
  <c r="AM202" i="155"/>
  <c r="AL204" i="155"/>
  <c r="AM205" i="155"/>
  <c r="AL207" i="155"/>
  <c r="AM207" i="155"/>
  <c r="AL209" i="155"/>
  <c r="AM209" i="155"/>
  <c r="AL211" i="155"/>
  <c r="AM211" i="155"/>
  <c r="AM213" i="155"/>
  <c r="AL214" i="155"/>
  <c r="AM214" i="155" s="1"/>
  <c r="AL216" i="155"/>
  <c r="AM216" i="155" s="1"/>
  <c r="AL218" i="155"/>
  <c r="AM218" i="155" s="1"/>
  <c r="AJ219" i="155"/>
  <c r="AL195" i="155"/>
  <c r="AM195" i="155" s="1"/>
  <c r="AM196" i="155" s="1"/>
  <c r="AK198" i="155"/>
  <c r="AJ198" i="155" s="1"/>
  <c r="AM198" i="155"/>
  <c r="AM200" i="155" s="1"/>
  <c r="AB102" i="155"/>
  <c r="AF137" i="155"/>
  <c r="AF138" i="155"/>
  <c r="AF139" i="155"/>
  <c r="AF141" i="155"/>
  <c r="AF143" i="155"/>
  <c r="AF144" i="155"/>
  <c r="AB112" i="155"/>
  <c r="AF112" i="155"/>
  <c r="AF133" i="155"/>
  <c r="AA107" i="155"/>
  <c r="AE118" i="155"/>
  <c r="AE126" i="155"/>
  <c r="AE127" i="155"/>
  <c r="AD130" i="155"/>
  <c r="AE132" i="155"/>
  <c r="AD134" i="155"/>
  <c r="AE134" i="155"/>
  <c r="AD136" i="155"/>
  <c r="AE136" i="155"/>
  <c r="AD145" i="155"/>
  <c r="AD151" i="155" s="1"/>
  <c r="AF145" i="155"/>
  <c r="AD146" i="155"/>
  <c r="AE146" i="155"/>
  <c r="AF146" i="155" s="1"/>
  <c r="AD147" i="155"/>
  <c r="AE147" i="155"/>
  <c r="AF147" i="155" s="1"/>
  <c r="AD148" i="155"/>
  <c r="AE148" i="155" s="1"/>
  <c r="AD149" i="155"/>
  <c r="AE149" i="155"/>
  <c r="AF149" i="155" s="1"/>
  <c r="AD150" i="155"/>
  <c r="AE150" i="155"/>
  <c r="AC109" i="155"/>
  <c r="AC112" i="155"/>
  <c r="AC118" i="155"/>
  <c r="AD120" i="155"/>
  <c r="AD122" i="155"/>
  <c r="AC122" i="155" s="1"/>
  <c r="AM108" i="155"/>
  <c r="AE108" i="155" s="1"/>
  <c r="AD108" i="155"/>
  <c r="AP111" i="155"/>
  <c r="AL100" i="155"/>
  <c r="AN117" i="155"/>
  <c r="AM110" i="155"/>
  <c r="AE110" i="155" s="1"/>
  <c r="AB110" i="155" s="1"/>
  <c r="AD110" i="155"/>
  <c r="AD116" i="155" s="1"/>
  <c r="AP122" i="155"/>
  <c r="AB121" i="155"/>
  <c r="AF121" i="155"/>
  <c r="AL101" i="155"/>
  <c r="AO113" i="155"/>
  <c r="AP112" i="155"/>
  <c r="AP113" i="155" s="1"/>
  <c r="AN111" i="155"/>
  <c r="AP131" i="155"/>
  <c r="AB130" i="155"/>
  <c r="AB132" i="155" s="1"/>
  <c r="AK200" i="155"/>
  <c r="AJ200" i="155"/>
  <c r="AM180" i="155"/>
  <c r="AL196" i="155"/>
  <c r="AJ175" i="155"/>
  <c r="AJ185" i="155"/>
  <c r="AF150" i="155"/>
  <c r="AF148" i="155"/>
  <c r="AF134" i="155"/>
  <c r="AD126" i="155"/>
  <c r="AC120" i="155"/>
  <c r="AC126" i="155" s="1"/>
  <c r="AF127" i="155"/>
  <c r="AF128" i="155"/>
  <c r="AE128" i="155"/>
  <c r="AD132" i="155"/>
  <c r="AC130" i="155"/>
  <c r="AC132" i="155" s="1"/>
  <c r="AF130" i="155"/>
  <c r="AF132" i="155" s="1"/>
  <c r="AE116" i="155"/>
  <c r="AM186" i="155"/>
  <c r="AF122" i="155"/>
  <c r="H10" i="178"/>
  <c r="G10" i="178"/>
  <c r="F10" i="178"/>
  <c r="E10" i="178" s="1"/>
  <c r="H11" i="178"/>
  <c r="G11" i="178" s="1"/>
  <c r="F11" i="178"/>
  <c r="H12" i="178"/>
  <c r="G12" i="178" s="1"/>
  <c r="F12" i="178" s="1"/>
  <c r="H13" i="178"/>
  <c r="G13" i="178"/>
  <c r="F13" i="178" s="1"/>
  <c r="H14" i="178"/>
  <c r="G14" i="178" s="1"/>
  <c r="F14" i="178" s="1"/>
  <c r="AK51" i="155"/>
  <c r="AM57" i="155"/>
  <c r="AG57" i="155"/>
  <c r="AI56" i="155"/>
  <c r="AJ56" i="155"/>
  <c r="AI55" i="155"/>
  <c r="AJ55" i="155" s="1"/>
  <c r="AI54" i="155"/>
  <c r="AJ54" i="155" s="1"/>
  <c r="AI53" i="155"/>
  <c r="AJ53" i="155"/>
  <c r="AI52" i="155"/>
  <c r="AJ52" i="155"/>
  <c r="AH51" i="155"/>
  <c r="AH57" i="155"/>
  <c r="AI50" i="155"/>
  <c r="AI49" i="155"/>
  <c r="AI48" i="155"/>
  <c r="AI47" i="155"/>
  <c r="AI46" i="155"/>
  <c r="AI45" i="155"/>
  <c r="AI44" i="155"/>
  <c r="AI43" i="155"/>
  <c r="AD43" i="155"/>
  <c r="AD44" i="155" s="1"/>
  <c r="AD45" i="155"/>
  <c r="AD46" i="155" s="1"/>
  <c r="AD47" i="155" s="1"/>
  <c r="AD48" i="155" s="1"/>
  <c r="AD49" i="155" s="1"/>
  <c r="AD50" i="155" s="1"/>
  <c r="AD51" i="155" s="1"/>
  <c r="AD52" i="155" s="1"/>
  <c r="AD53" i="155" s="1"/>
  <c r="AD54" i="155" s="1"/>
  <c r="AD55" i="155" s="1"/>
  <c r="AD56" i="155" s="1"/>
  <c r="AI42" i="155"/>
  <c r="AJ42" i="155"/>
  <c r="AI40" i="155"/>
  <c r="AJ40" i="155" s="1"/>
  <c r="AI39" i="155"/>
  <c r="AU38" i="155"/>
  <c r="AM38" i="155"/>
  <c r="AG38" i="155"/>
  <c r="AU37" i="155"/>
  <c r="AH36" i="155" s="1"/>
  <c r="AH38" i="155" s="1"/>
  <c r="AJ37" i="155"/>
  <c r="AK37" i="155"/>
  <c r="AL37" i="155" s="1"/>
  <c r="AU36" i="155"/>
  <c r="AK36" i="155"/>
  <c r="AL35" i="155"/>
  <c r="AM34" i="155"/>
  <c r="AJ34" i="155"/>
  <c r="AH34" i="155"/>
  <c r="AI33" i="155"/>
  <c r="AI34" i="155"/>
  <c r="AG33" i="155"/>
  <c r="AG34" i="155"/>
  <c r="AR32" i="155"/>
  <c r="AM32" i="155"/>
  <c r="AT31" i="155"/>
  <c r="AS31" i="155"/>
  <c r="AK31" i="155"/>
  <c r="AL31" i="155"/>
  <c r="AJ31" i="155"/>
  <c r="AI31" i="155"/>
  <c r="AS30" i="155"/>
  <c r="AP30" i="155"/>
  <c r="AP32" i="155" s="1"/>
  <c r="AO30" i="155"/>
  <c r="AL30" i="155"/>
  <c r="AJ30" i="155"/>
  <c r="AI30" i="155" s="1"/>
  <c r="AT29" i="155"/>
  <c r="AS29" i="155"/>
  <c r="AU29" i="155" s="1"/>
  <c r="AK29" i="155"/>
  <c r="AJ29" i="155" s="1"/>
  <c r="AG29" i="155"/>
  <c r="AT28" i="155"/>
  <c r="AU28" i="155" s="1"/>
  <c r="AS28" i="155"/>
  <c r="AT27" i="155"/>
  <c r="AS27" i="155"/>
  <c r="AU27" i="155" s="1"/>
  <c r="AH26" i="155" s="1"/>
  <c r="AK27" i="155"/>
  <c r="AJ27" i="155" s="1"/>
  <c r="AG27" i="155"/>
  <c r="AT26" i="155"/>
  <c r="AU26" i="155" s="1"/>
  <c r="AS26" i="155"/>
  <c r="AK26" i="155"/>
  <c r="AG26" i="155"/>
  <c r="AM24" i="155"/>
  <c r="AP23" i="155"/>
  <c r="AO23" i="155"/>
  <c r="AM23" i="155"/>
  <c r="AJ23" i="155"/>
  <c r="AP22" i="155"/>
  <c r="AO22" i="155"/>
  <c r="AM22" i="155"/>
  <c r="AM25" i="155" s="1"/>
  <c r="AM41" i="155" s="1"/>
  <c r="AP21" i="155"/>
  <c r="AO21" i="155"/>
  <c r="AM21" i="155"/>
  <c r="AM20" i="155"/>
  <c r="AS19" i="155"/>
  <c r="AR19" i="155"/>
  <c r="AM19" i="155"/>
  <c r="AP18" i="155"/>
  <c r="AP24" i="155" s="1"/>
  <c r="AO18" i="155"/>
  <c r="AJ18" i="155"/>
  <c r="AJ24" i="155"/>
  <c r="AT17" i="155"/>
  <c r="AU17" i="155" s="1"/>
  <c r="AU19" i="155" s="1"/>
  <c r="AK17" i="155"/>
  <c r="AH17" i="155" s="1"/>
  <c r="AG17" i="155"/>
  <c r="AG23" i="155"/>
  <c r="AK16" i="155"/>
  <c r="AJ16" i="155"/>
  <c r="AJ22" i="155"/>
  <c r="AG16" i="155"/>
  <c r="AG22" i="155" s="1"/>
  <c r="AK15" i="155"/>
  <c r="AJ15" i="155"/>
  <c r="AJ21" i="155"/>
  <c r="AG15" i="155"/>
  <c r="AG21" i="155" s="1"/>
  <c r="AK14" i="155"/>
  <c r="AJ14" i="155"/>
  <c r="AG14" i="155"/>
  <c r="AM13" i="155"/>
  <c r="AJ13" i="155"/>
  <c r="AK12" i="155"/>
  <c r="AQ12" i="155"/>
  <c r="AH12" i="155"/>
  <c r="AK11" i="155"/>
  <c r="AK10" i="155"/>
  <c r="AQ10" i="155"/>
  <c r="AI10" i="155"/>
  <c r="AH10" i="155"/>
  <c r="AL10" i="155"/>
  <c r="AK9" i="155"/>
  <c r="AP8" i="155"/>
  <c r="AK8" i="155" s="1"/>
  <c r="AH8" i="155" s="1"/>
  <c r="AO8" i="155"/>
  <c r="AO20" i="155"/>
  <c r="AK33" i="155"/>
  <c r="AK34" i="155" s="1"/>
  <c r="AK38" i="155"/>
  <c r="AQ15" i="155"/>
  <c r="AH15" i="155"/>
  <c r="AL15" i="155" s="1"/>
  <c r="AG8" i="155"/>
  <c r="AG13" i="155" s="1"/>
  <c r="AI12" i="155"/>
  <c r="AM58" i="155"/>
  <c r="AK40" i="155"/>
  <c r="AL40" i="155" s="1"/>
  <c r="AL51" i="155"/>
  <c r="AH11" i="155"/>
  <c r="AL17" i="155"/>
  <c r="AG20" i="155"/>
  <c r="AP20" i="155"/>
  <c r="AP25" i="155" s="1"/>
  <c r="AK23" i="155"/>
  <c r="AL29" i="155"/>
  <c r="AI29" i="155"/>
  <c r="AO32" i="155"/>
  <c r="AQ11" i="155"/>
  <c r="AI16" i="155"/>
  <c r="AQ17" i="155"/>
  <c r="AQ23" i="155" s="1"/>
  <c r="AI11" i="155"/>
  <c r="AO13" i="155"/>
  <c r="AI15" i="155"/>
  <c r="AH16" i="155"/>
  <c r="AH22" i="155" s="1"/>
  <c r="AI17" i="155"/>
  <c r="AI23" i="155" s="1"/>
  <c r="AJ26" i="155"/>
  <c r="AU31" i="155"/>
  <c r="AK42" i="155"/>
  <c r="AQ42" i="155" s="1"/>
  <c r="AJ44" i="155"/>
  <c r="AJ45" i="155"/>
  <c r="AJ46" i="155"/>
  <c r="AK46" i="155" s="1"/>
  <c r="AQ46" i="155" s="1"/>
  <c r="AJ47" i="155"/>
  <c r="AJ48" i="155"/>
  <c r="AK48" i="155"/>
  <c r="AQ48" i="155" s="1"/>
  <c r="AJ49" i="155"/>
  <c r="AK49" i="155"/>
  <c r="AL49" i="155" s="1"/>
  <c r="AJ50" i="155"/>
  <c r="AK50" i="155" s="1"/>
  <c r="AQ50" i="155" s="1"/>
  <c r="AQ51" i="155"/>
  <c r="AK53" i="155"/>
  <c r="AL53" i="155" s="1"/>
  <c r="AK54" i="155"/>
  <c r="AQ54" i="155" s="1"/>
  <c r="AK55" i="155"/>
  <c r="AL55" i="155" s="1"/>
  <c r="AQ37" i="155"/>
  <c r="AJ51" i="155"/>
  <c r="AI51" i="155"/>
  <c r="AH23" i="155"/>
  <c r="AL54" i="155"/>
  <c r="AL11" i="155"/>
  <c r="AQ55" i="155"/>
  <c r="AQ53" i="155"/>
  <c r="AI26" i="155"/>
  <c r="AE20" i="200"/>
  <c r="AE19" i="200"/>
  <c r="AE18" i="200"/>
  <c r="AE17" i="200"/>
  <c r="AE16" i="200"/>
  <c r="F20" i="200"/>
  <c r="F19" i="200"/>
  <c r="F18" i="200"/>
  <c r="F17" i="200"/>
  <c r="F16" i="200"/>
  <c r="F21" i="200"/>
  <c r="AC14" i="185"/>
  <c r="Y15" i="200"/>
  <c r="U15" i="200"/>
  <c r="Q15" i="200"/>
  <c r="AC21" i="200"/>
  <c r="AD21" i="200" s="1"/>
  <c r="AA21" i="200"/>
  <c r="Y21" i="200"/>
  <c r="W21" i="200"/>
  <c r="X21" i="200" s="1"/>
  <c r="U21" i="200"/>
  <c r="S21" i="200"/>
  <c r="T21" i="200" s="1"/>
  <c r="Q21" i="200"/>
  <c r="R21" i="200" s="1"/>
  <c r="O21" i="200"/>
  <c r="M21" i="200"/>
  <c r="K21" i="200"/>
  <c r="I21" i="200"/>
  <c r="G21" i="200"/>
  <c r="H21" i="200" s="1"/>
  <c r="D21" i="200"/>
  <c r="C21" i="200"/>
  <c r="B21" i="200"/>
  <c r="AD19" i="200"/>
  <c r="AB19" i="200"/>
  <c r="Z19" i="200"/>
  <c r="X19" i="200"/>
  <c r="V19" i="200"/>
  <c r="T19" i="200"/>
  <c r="R19" i="200"/>
  <c r="P19" i="200"/>
  <c r="N19" i="200"/>
  <c r="L19" i="200"/>
  <c r="J19" i="200"/>
  <c r="H19" i="200"/>
  <c r="AD18" i="200"/>
  <c r="AB18" i="200"/>
  <c r="Z18" i="200"/>
  <c r="X18" i="200"/>
  <c r="V18" i="200"/>
  <c r="T18" i="200"/>
  <c r="R18" i="200"/>
  <c r="P18" i="200"/>
  <c r="N18" i="200"/>
  <c r="L18" i="200"/>
  <c r="J18" i="200"/>
  <c r="H18" i="200"/>
  <c r="AD17" i="200"/>
  <c r="AB17" i="200"/>
  <c r="Z17" i="200"/>
  <c r="X17" i="200"/>
  <c r="V17" i="200"/>
  <c r="T17" i="200"/>
  <c r="R17" i="200"/>
  <c r="P17" i="200"/>
  <c r="N17" i="200"/>
  <c r="L17" i="200"/>
  <c r="J17" i="200"/>
  <c r="H17" i="200"/>
  <c r="AD16" i="200"/>
  <c r="AB16" i="200"/>
  <c r="Z16" i="200"/>
  <c r="X16" i="200"/>
  <c r="V16" i="200"/>
  <c r="T16" i="200"/>
  <c r="R16" i="200"/>
  <c r="P16" i="200"/>
  <c r="N16" i="200"/>
  <c r="L16" i="200"/>
  <c r="J16" i="200"/>
  <c r="H16" i="200"/>
  <c r="F22" i="109"/>
  <c r="E22" i="109" s="1"/>
  <c r="L21" i="200"/>
  <c r="P21" i="200"/>
  <c r="AB21" i="200"/>
  <c r="J21" i="200"/>
  <c r="N21" i="200"/>
  <c r="V21" i="200"/>
  <c r="Z21" i="200"/>
  <c r="D10" i="200"/>
  <c r="J10" i="200" s="1"/>
  <c r="R10" i="200"/>
  <c r="AC14" i="200"/>
  <c r="H10" i="185" s="1"/>
  <c r="AA14" i="200"/>
  <c r="F10" i="185"/>
  <c r="Y14" i="200"/>
  <c r="Z15" i="200" s="1"/>
  <c r="W14" i="200"/>
  <c r="U14" i="200"/>
  <c r="V15" i="200"/>
  <c r="S14" i="200"/>
  <c r="Q14" i="200"/>
  <c r="R15" i="200"/>
  <c r="O14" i="200"/>
  <c r="M14" i="200"/>
  <c r="K14" i="200"/>
  <c r="I14" i="200"/>
  <c r="G14" i="200"/>
  <c r="D10" i="185" s="1"/>
  <c r="E14" i="200"/>
  <c r="C14" i="200"/>
  <c r="B14" i="200"/>
  <c r="E10" i="185"/>
  <c r="T10" i="200"/>
  <c r="I27" i="202"/>
  <c r="C31" i="176" s="1"/>
  <c r="D31" i="176" s="1"/>
  <c r="H27" i="202"/>
  <c r="B31" i="176" s="1"/>
  <c r="A8" i="202"/>
  <c r="A9" i="202" s="1"/>
  <c r="A10" i="202" s="1"/>
  <c r="A11" i="202" s="1"/>
  <c r="A12" i="202" s="1"/>
  <c r="A13" i="202" s="1"/>
  <c r="A14" i="202" s="1"/>
  <c r="A15" i="202" s="1"/>
  <c r="A16" i="202" s="1"/>
  <c r="A17" i="202" s="1"/>
  <c r="A18" i="202" s="1"/>
  <c r="A19" i="202" s="1"/>
  <c r="A20" i="202" s="1"/>
  <c r="A21" i="202" s="1"/>
  <c r="A22" i="202" s="1"/>
  <c r="A23" i="202" s="1"/>
  <c r="A24" i="202" s="1"/>
  <c r="A25" i="202" s="1"/>
  <c r="A26" i="202" s="1"/>
  <c r="H30" i="201"/>
  <c r="B27" i="176"/>
  <c r="H29" i="201"/>
  <c r="H31" i="201"/>
  <c r="G30" i="201"/>
  <c r="G29" i="201"/>
  <c r="G31" i="201" s="1"/>
  <c r="I18" i="201"/>
  <c r="I29" i="201" s="1"/>
  <c r="I16" i="201"/>
  <c r="I30" i="201"/>
  <c r="C27" i="176" s="1"/>
  <c r="I13" i="201"/>
  <c r="C14" i="176"/>
  <c r="H13" i="201"/>
  <c r="B14" i="176" s="1"/>
  <c r="I12" i="201"/>
  <c r="C13" i="176"/>
  <c r="H12" i="201"/>
  <c r="B13" i="176" s="1"/>
  <c r="B40" i="176" s="1"/>
  <c r="G13" i="201"/>
  <c r="G12" i="201"/>
  <c r="G14" i="201" s="1"/>
  <c r="B26" i="176"/>
  <c r="A17" i="201"/>
  <c r="A18" i="201"/>
  <c r="A19" i="201"/>
  <c r="A20" i="201" s="1"/>
  <c r="A21" i="201" s="1"/>
  <c r="A22" i="201" s="1"/>
  <c r="A23" i="201" s="1"/>
  <c r="A24" i="201" s="1"/>
  <c r="A25" i="201" s="1"/>
  <c r="A26" i="201" s="1"/>
  <c r="A27" i="201" s="1"/>
  <c r="A28" i="201" s="1"/>
  <c r="I14" i="201"/>
  <c r="A8" i="201"/>
  <c r="A9" i="201"/>
  <c r="A10" i="201" s="1"/>
  <c r="A11" i="201" s="1"/>
  <c r="C10" i="176"/>
  <c r="B10" i="176"/>
  <c r="F20" i="109"/>
  <c r="E20" i="109"/>
  <c r="B10" i="183"/>
  <c r="C10" i="183"/>
  <c r="E76" i="188"/>
  <c r="D9" i="200"/>
  <c r="F9" i="200"/>
  <c r="R9" i="200"/>
  <c r="T9" i="200"/>
  <c r="K295" i="188"/>
  <c r="K133" i="188"/>
  <c r="K77" i="188"/>
  <c r="B16" i="183"/>
  <c r="B18" i="183"/>
  <c r="B29" i="183" s="1"/>
  <c r="K186" i="188"/>
  <c r="K134" i="188"/>
  <c r="K76" i="188"/>
  <c r="H19" i="178"/>
  <c r="G19" i="178" s="1"/>
  <c r="C19" i="183"/>
  <c r="C23" i="183" s="1"/>
  <c r="C11" i="176"/>
  <c r="H17" i="178"/>
  <c r="G17" i="178"/>
  <c r="F386" i="188" s="1"/>
  <c r="C14" i="178"/>
  <c r="B14" i="178" s="1"/>
  <c r="C13" i="178"/>
  <c r="B13" i="178" s="1"/>
  <c r="C12" i="178"/>
  <c r="B12" i="178"/>
  <c r="C11" i="178"/>
  <c r="B11" i="178" s="1"/>
  <c r="C10" i="178"/>
  <c r="B10" i="178" s="1"/>
  <c r="K188" i="188"/>
  <c r="K243" i="188"/>
  <c r="K362" i="188"/>
  <c r="K373" i="188"/>
  <c r="M373" i="188"/>
  <c r="K370" i="188"/>
  <c r="BD10" i="185"/>
  <c r="H72" i="188"/>
  <c r="H112" i="188" s="1"/>
  <c r="H129" i="188"/>
  <c r="H154" i="188"/>
  <c r="H182" i="188"/>
  <c r="H212" i="188" s="1"/>
  <c r="H237" i="188"/>
  <c r="H255" i="188" s="1"/>
  <c r="H291" i="188"/>
  <c r="I15" i="200"/>
  <c r="J15" i="200" s="1"/>
  <c r="B26" i="172"/>
  <c r="B28" i="172" s="1"/>
  <c r="B29" i="168"/>
  <c r="B11" i="176"/>
  <c r="E28" i="178"/>
  <c r="D23" i="176"/>
  <c r="D33" i="176"/>
  <c r="D24" i="176"/>
  <c r="K187" i="188"/>
  <c r="K189" i="188" s="1"/>
  <c r="E349" i="188"/>
  <c r="B27" i="174"/>
  <c r="B30" i="174" s="1"/>
  <c r="C18" i="174"/>
  <c r="B23" i="168"/>
  <c r="C23" i="168"/>
  <c r="C18" i="170"/>
  <c r="B18" i="170"/>
  <c r="F25" i="109"/>
  <c r="E25" i="109" s="1"/>
  <c r="F24" i="109"/>
  <c r="E24" i="109" s="1"/>
  <c r="F23" i="109"/>
  <c r="E23" i="109"/>
  <c r="F21" i="109"/>
  <c r="E21" i="109" s="1"/>
  <c r="F16" i="109"/>
  <c r="E16" i="109"/>
  <c r="F15" i="109"/>
  <c r="E15" i="109" s="1"/>
  <c r="F14" i="109"/>
  <c r="E14" i="109"/>
  <c r="J76" i="188"/>
  <c r="J77" i="188"/>
  <c r="J78" i="188"/>
  <c r="J295" i="188"/>
  <c r="J297" i="188"/>
  <c r="J241" i="188"/>
  <c r="J242" i="188"/>
  <c r="J243" i="188"/>
  <c r="J186" i="188"/>
  <c r="J187" i="188"/>
  <c r="J188" i="188"/>
  <c r="J133" i="188"/>
  <c r="J134" i="188"/>
  <c r="J136" i="188" s="1"/>
  <c r="C14" i="174"/>
  <c r="C16" i="174"/>
  <c r="B14" i="174"/>
  <c r="B16" i="174" s="1"/>
  <c r="M15" i="200"/>
  <c r="N15" i="200"/>
  <c r="B18" i="174"/>
  <c r="F11" i="109"/>
  <c r="E11" i="109" s="1"/>
  <c r="E10" i="109"/>
  <c r="E8" i="109"/>
  <c r="E7" i="109"/>
  <c r="R383" i="188"/>
  <c r="R384" i="188"/>
  <c r="Q383" i="188"/>
  <c r="Q384" i="188"/>
  <c r="P383" i="188"/>
  <c r="P384" i="188"/>
  <c r="O383" i="188"/>
  <c r="O384" i="188"/>
  <c r="O385" i="188" s="1"/>
  <c r="I351" i="188"/>
  <c r="E351" i="188"/>
  <c r="E350" i="188"/>
  <c r="G349" i="188"/>
  <c r="H349" i="188"/>
  <c r="F349" i="188"/>
  <c r="K242" i="188"/>
  <c r="K241" i="188"/>
  <c r="K244" i="188" s="1"/>
  <c r="K79" i="188"/>
  <c r="G89" i="188" s="1"/>
  <c r="F89" i="188" s="1"/>
  <c r="I89" i="188" s="1"/>
  <c r="K298" i="188"/>
  <c r="G308" i="188"/>
  <c r="H350" i="188"/>
  <c r="H351" i="188"/>
  <c r="G350" i="188"/>
  <c r="G351" i="188"/>
  <c r="F350" i="188"/>
  <c r="F351" i="188"/>
  <c r="J351" i="188" s="1"/>
  <c r="F6" i="109"/>
  <c r="E6" i="109"/>
  <c r="F10" i="109"/>
  <c r="B15" i="177"/>
  <c r="B16" i="177" s="1"/>
  <c r="J135" i="188"/>
  <c r="J296" i="188"/>
  <c r="G381" i="188"/>
  <c r="E31" i="178"/>
  <c r="H28" i="178"/>
  <c r="F381" i="188"/>
  <c r="E377" i="188"/>
  <c r="E375" i="188"/>
  <c r="E373" i="188"/>
  <c r="E370" i="188"/>
  <c r="E365" i="188"/>
  <c r="E363" i="188"/>
  <c r="E368" i="188"/>
  <c r="E362" i="188"/>
  <c r="I350" i="188"/>
  <c r="I352" i="188" s="1"/>
  <c r="I349" i="188"/>
  <c r="J327" i="188"/>
  <c r="E325" i="188"/>
  <c r="E314" i="188"/>
  <c r="I298" i="188"/>
  <c r="H298" i="188"/>
  <c r="G298" i="188"/>
  <c r="F298" i="188"/>
  <c r="E298" i="188"/>
  <c r="J273" i="188"/>
  <c r="E271" i="188"/>
  <c r="E260" i="188"/>
  <c r="H260" i="188" s="1"/>
  <c r="I244" i="188"/>
  <c r="H244" i="188"/>
  <c r="G244" i="188"/>
  <c r="F244" i="188"/>
  <c r="E244" i="188"/>
  <c r="J218" i="188"/>
  <c r="E216" i="188"/>
  <c r="H216" i="188" s="1"/>
  <c r="E205" i="188"/>
  <c r="I189" i="188"/>
  <c r="H189" i="188"/>
  <c r="G189" i="188"/>
  <c r="F189" i="188"/>
  <c r="E189" i="188"/>
  <c r="J165" i="188"/>
  <c r="E163" i="188"/>
  <c r="E152" i="188"/>
  <c r="I136" i="188"/>
  <c r="H136" i="188"/>
  <c r="G136" i="188"/>
  <c r="F136" i="188"/>
  <c r="E136" i="188"/>
  <c r="J108" i="188"/>
  <c r="E106" i="188"/>
  <c r="E95" i="188"/>
  <c r="H95" i="188" s="1"/>
  <c r="I79" i="188"/>
  <c r="H79" i="188"/>
  <c r="G79" i="188"/>
  <c r="F79" i="188"/>
  <c r="E79" i="188"/>
  <c r="C17" i="172"/>
  <c r="B17" i="172"/>
  <c r="C9" i="181"/>
  <c r="H28" i="183"/>
  <c r="E28" i="183"/>
  <c r="G28" i="183"/>
  <c r="F28" i="183"/>
  <c r="D28" i="183"/>
  <c r="I28" i="183" s="1"/>
  <c r="C15" i="183"/>
  <c r="C10" i="184" s="1"/>
  <c r="B15" i="183"/>
  <c r="B10" i="184"/>
  <c r="AZ10" i="185"/>
  <c r="AS10" i="185"/>
  <c r="B9" i="185"/>
  <c r="C9" i="185" s="1"/>
  <c r="D9" i="185" s="1"/>
  <c r="E9" i="185" s="1"/>
  <c r="F9" i="185" s="1"/>
  <c r="G9" i="185" s="1"/>
  <c r="H9" i="185" s="1"/>
  <c r="I9" i="185" s="1"/>
  <c r="J9" i="185" s="1"/>
  <c r="K9" i="185" s="1"/>
  <c r="L9" i="185" s="1"/>
  <c r="M9" i="185" s="1"/>
  <c r="N9" i="185" s="1"/>
  <c r="O9" i="185" s="1"/>
  <c r="P9" i="185" s="1"/>
  <c r="Q9" i="185" s="1"/>
  <c r="R9" i="185" s="1"/>
  <c r="S9" i="185"/>
  <c r="T9" i="185" s="1"/>
  <c r="U9" i="185" s="1"/>
  <c r="V9" i="185" s="1"/>
  <c r="W9" i="185" s="1"/>
  <c r="X9" i="185" s="1"/>
  <c r="Y9" i="185" s="1"/>
  <c r="Z9" i="185" s="1"/>
  <c r="AA9" i="185" s="1"/>
  <c r="AB9" i="185" s="1"/>
  <c r="AC9" i="185" s="1"/>
  <c r="AD9" i="185" s="1"/>
  <c r="AE9" i="185" s="1"/>
  <c r="AF9" i="185" s="1"/>
  <c r="AG9" i="185" s="1"/>
  <c r="AH9" i="185" s="1"/>
  <c r="AI9" i="185" s="1"/>
  <c r="AJ9" i="185" s="1"/>
  <c r="AK9" i="185" s="1"/>
  <c r="AL9" i="185" s="1"/>
  <c r="AM9" i="185" s="1"/>
  <c r="AN9" i="185" s="1"/>
  <c r="AO9" i="185" s="1"/>
  <c r="AP9" i="185"/>
  <c r="AQ9" i="185" s="1"/>
  <c r="AR9" i="185" s="1"/>
  <c r="AS9" i="185" s="1"/>
  <c r="AT9" i="185" s="1"/>
  <c r="AU9" i="185" s="1"/>
  <c r="AV9" i="185" s="1"/>
  <c r="AW9" i="185" s="1"/>
  <c r="AX9" i="185" s="1"/>
  <c r="AY9" i="185" s="1"/>
  <c r="AZ9" i="185" s="1"/>
  <c r="BA9" i="185" s="1"/>
  <c r="BB9" i="185" s="1"/>
  <c r="BC9" i="185" s="1"/>
  <c r="BD9" i="185" s="1"/>
  <c r="S10" i="185"/>
  <c r="AP10" i="185"/>
  <c r="AU10" i="185"/>
  <c r="I20" i="183"/>
  <c r="J20" i="183"/>
  <c r="K20" i="183"/>
  <c r="I21" i="183"/>
  <c r="J21" i="183"/>
  <c r="K21" i="183"/>
  <c r="I22" i="183"/>
  <c r="J22" i="183"/>
  <c r="K22" i="183"/>
  <c r="B23" i="183"/>
  <c r="I24" i="183"/>
  <c r="J24" i="183"/>
  <c r="K24" i="183"/>
  <c r="I25" i="183"/>
  <c r="J25" i="183"/>
  <c r="K25" i="183"/>
  <c r="I27" i="183"/>
  <c r="J27" i="183"/>
  <c r="K27" i="183"/>
  <c r="B28" i="183"/>
  <c r="C28" i="183"/>
  <c r="BC10" i="185"/>
  <c r="F28" i="178"/>
  <c r="D28" i="178"/>
  <c r="I28" i="178"/>
  <c r="D20" i="109"/>
  <c r="D22" i="109"/>
  <c r="D7" i="109"/>
  <c r="D24" i="109"/>
  <c r="D8" i="109"/>
  <c r="D11" i="109"/>
  <c r="D14" i="109"/>
  <c r="D16" i="109"/>
  <c r="D21" i="109"/>
  <c r="D25" i="109"/>
  <c r="K25" i="178"/>
  <c r="B10" i="177"/>
  <c r="C10" i="177"/>
  <c r="D10" i="177"/>
  <c r="D9" i="181"/>
  <c r="D24" i="181"/>
  <c r="B13" i="172"/>
  <c r="B15" i="172" s="1"/>
  <c r="C13" i="172"/>
  <c r="C15" i="172"/>
  <c r="C16" i="172"/>
  <c r="C19" i="172" s="1"/>
  <c r="B20" i="172"/>
  <c r="B24" i="172"/>
  <c r="B14" i="170"/>
  <c r="B16" i="170" s="1"/>
  <c r="C14" i="170"/>
  <c r="C16" i="170" s="1"/>
  <c r="B17" i="170"/>
  <c r="B20" i="170" s="1"/>
  <c r="C17" i="170"/>
  <c r="C20" i="170" s="1"/>
  <c r="B14" i="168"/>
  <c r="C14" i="168"/>
  <c r="B15" i="168"/>
  <c r="C15" i="168"/>
  <c r="B16" i="168"/>
  <c r="C16" i="168"/>
  <c r="C26" i="168" s="1"/>
  <c r="C27" i="168" s="1"/>
  <c r="B17" i="168"/>
  <c r="B20" i="168" s="1"/>
  <c r="C17" i="168"/>
  <c r="C20" i="168"/>
  <c r="B14" i="166"/>
  <c r="C14" i="166"/>
  <c r="B15" i="166"/>
  <c r="C15" i="166"/>
  <c r="B16" i="166"/>
  <c r="B26" i="166" s="1"/>
  <c r="C16" i="166"/>
  <c r="B18" i="178"/>
  <c r="B23" i="178"/>
  <c r="B28" i="178"/>
  <c r="C18" i="178"/>
  <c r="C23" i="178"/>
  <c r="C28" i="178"/>
  <c r="I20" i="178"/>
  <c r="J20" i="178"/>
  <c r="K20" i="178"/>
  <c r="I21" i="178"/>
  <c r="J21" i="178"/>
  <c r="K21" i="178"/>
  <c r="I22" i="178"/>
  <c r="J22" i="178"/>
  <c r="K22" i="178"/>
  <c r="I24" i="178"/>
  <c r="J24" i="178"/>
  <c r="K24" i="178"/>
  <c r="I25" i="178"/>
  <c r="I27" i="178"/>
  <c r="J27" i="178"/>
  <c r="K27" i="178"/>
  <c r="D6" i="109"/>
  <c r="D10" i="109"/>
  <c r="C12" i="109"/>
  <c r="D12" i="109"/>
  <c r="C13" i="109"/>
  <c r="D13" i="109"/>
  <c r="D15" i="109"/>
  <c r="C14" i="109"/>
  <c r="C15" i="109"/>
  <c r="C16" i="109"/>
  <c r="C17" i="109"/>
  <c r="D17" i="109"/>
  <c r="C18" i="109"/>
  <c r="D18" i="109"/>
  <c r="C19" i="109"/>
  <c r="D19" i="109"/>
  <c r="C20" i="109"/>
  <c r="C22" i="109"/>
  <c r="C25" i="109"/>
  <c r="C27" i="109"/>
  <c r="D27" i="109"/>
  <c r="C28" i="109"/>
  <c r="D28" i="109"/>
  <c r="G28" i="178"/>
  <c r="J28" i="178"/>
  <c r="J25" i="178"/>
  <c r="K28" i="178"/>
  <c r="H100" i="188"/>
  <c r="H271" i="188"/>
  <c r="H325" i="188"/>
  <c r="H214" i="188"/>
  <c r="H323" i="188"/>
  <c r="H262" i="188"/>
  <c r="I108" i="188"/>
  <c r="H161" i="188"/>
  <c r="H254" i="188"/>
  <c r="H309" i="188"/>
  <c r="E10" i="177"/>
  <c r="B16" i="172"/>
  <c r="B19" i="172" s="1"/>
  <c r="B25" i="172" s="1"/>
  <c r="J79" i="188"/>
  <c r="H73" i="188" s="1"/>
  <c r="J189" i="188"/>
  <c r="C11" i="109"/>
  <c r="G352" i="188"/>
  <c r="G386" i="188"/>
  <c r="J244" i="188"/>
  <c r="H238" i="188" s="1"/>
  <c r="J28" i="183"/>
  <c r="K28" i="183"/>
  <c r="P385" i="188"/>
  <c r="R385" i="188"/>
  <c r="H23" i="178"/>
  <c r="J349" i="188"/>
  <c r="G199" i="188"/>
  <c r="H352" i="188"/>
  <c r="G254" i="188"/>
  <c r="H130" i="188"/>
  <c r="J298" i="188"/>
  <c r="H292" i="188" s="1"/>
  <c r="C27" i="174"/>
  <c r="H277" i="188"/>
  <c r="H159" i="188"/>
  <c r="H265" i="188"/>
  <c r="H149" i="188"/>
  <c r="I273" i="188"/>
  <c r="H169" i="188"/>
  <c r="H147" i="188"/>
  <c r="B17" i="166"/>
  <c r="B20" i="166"/>
  <c r="H314" i="188"/>
  <c r="H97" i="188"/>
  <c r="B21" i="176"/>
  <c r="C17" i="174"/>
  <c r="C21" i="174" s="1"/>
  <c r="H16" i="178"/>
  <c r="H18" i="178" s="1"/>
  <c r="B21" i="168"/>
  <c r="B21" i="170"/>
  <c r="B25" i="170" s="1"/>
  <c r="H102" i="188"/>
  <c r="H90" i="188"/>
  <c r="H104" i="188"/>
  <c r="H89" i="188"/>
  <c r="H92" i="188"/>
  <c r="H106" i="188"/>
  <c r="B15" i="178"/>
  <c r="B29" i="178" s="1"/>
  <c r="B10" i="179" s="1"/>
  <c r="C15" i="178"/>
  <c r="B27" i="170"/>
  <c r="B29" i="170"/>
  <c r="AT10" i="185"/>
  <c r="B21" i="166"/>
  <c r="B25" i="166" s="1"/>
  <c r="F30" i="109"/>
  <c r="F31" i="109" s="1"/>
  <c r="F199" i="188"/>
  <c r="K199" i="188"/>
  <c r="E352" i="188"/>
  <c r="H152" i="188"/>
  <c r="H183" i="188"/>
  <c r="H269" i="188"/>
  <c r="H257" i="188"/>
  <c r="H157" i="188"/>
  <c r="H146" i="188"/>
  <c r="H267" i="188"/>
  <c r="I165" i="188"/>
  <c r="Q385" i="188"/>
  <c r="M370" i="188"/>
  <c r="B25" i="168"/>
  <c r="B26" i="168" s="1"/>
  <c r="P10" i="179"/>
  <c r="C22" i="174"/>
  <c r="E110" i="188"/>
  <c r="H110" i="188" s="1"/>
  <c r="B17" i="174"/>
  <c r="B21" i="174"/>
  <c r="F17" i="178"/>
  <c r="H19" i="183"/>
  <c r="H23" i="183" s="1"/>
  <c r="E30" i="109"/>
  <c r="E31" i="109" s="1"/>
  <c r="K365" i="188"/>
  <c r="M365" i="188" s="1"/>
  <c r="K363" i="188"/>
  <c r="K375" i="188"/>
  <c r="K377" i="188"/>
  <c r="B26" i="170"/>
  <c r="G16" i="178"/>
  <c r="G18" i="178" s="1"/>
  <c r="F16" i="178"/>
  <c r="B29" i="166"/>
  <c r="B22" i="174"/>
  <c r="E17" i="178"/>
  <c r="C23" i="174"/>
  <c r="K89" i="188"/>
  <c r="J89" i="188"/>
  <c r="C10" i="185"/>
  <c r="H16" i="183"/>
  <c r="M375" i="188"/>
  <c r="I199" i="188"/>
  <c r="P10" i="184"/>
  <c r="O10" i="184" s="1"/>
  <c r="H18" i="183"/>
  <c r="G16" i="183"/>
  <c r="F154" i="188"/>
  <c r="F147" i="188"/>
  <c r="F157" i="188"/>
  <c r="I157" i="188"/>
  <c r="B23" i="174"/>
  <c r="D17" i="178"/>
  <c r="J17" i="178"/>
  <c r="K17" i="178"/>
  <c r="B10" i="185"/>
  <c r="AA12" i="185" s="1"/>
  <c r="AA13" i="185" s="1"/>
  <c r="AB13" i="185" s="1"/>
  <c r="F214" i="188"/>
  <c r="F200" i="188"/>
  <c r="F210" i="188"/>
  <c r="I210" i="188" s="1"/>
  <c r="F207" i="188"/>
  <c r="F161" i="188"/>
  <c r="I161" i="188"/>
  <c r="J210" i="188"/>
  <c r="J207" i="188"/>
  <c r="F202" i="188"/>
  <c r="F205" i="188" s="1"/>
  <c r="I202" i="188"/>
  <c r="F323" i="188"/>
  <c r="I323" i="188" s="1"/>
  <c r="J323" i="188"/>
  <c r="G321" i="188"/>
  <c r="F319" i="188"/>
  <c r="I319" i="188"/>
  <c r="J319" i="188"/>
  <c r="F316" i="188"/>
  <c r="I316" i="188" s="1"/>
  <c r="J316" i="188"/>
  <c r="F311" i="188"/>
  <c r="I311" i="188" s="1"/>
  <c r="J311" i="188"/>
  <c r="J161" i="188"/>
  <c r="J147" i="188"/>
  <c r="J154" i="188"/>
  <c r="G159" i="188"/>
  <c r="G163" i="188" s="1"/>
  <c r="J163" i="188" s="1"/>
  <c r="F159" i="188"/>
  <c r="J157" i="188"/>
  <c r="F149" i="188"/>
  <c r="I149" i="188" s="1"/>
  <c r="J149" i="188"/>
  <c r="AC10" i="185"/>
  <c r="F16" i="183"/>
  <c r="F18" i="183" s="1"/>
  <c r="G18" i="183"/>
  <c r="U10" i="185"/>
  <c r="G205" i="188"/>
  <c r="J205" i="188" s="1"/>
  <c r="J214" i="188"/>
  <c r="G212" i="188"/>
  <c r="G216" i="188" s="1"/>
  <c r="J216" i="188" s="1"/>
  <c r="F212" i="188"/>
  <c r="I212" i="188" s="1"/>
  <c r="J200" i="188"/>
  <c r="AE10" i="185"/>
  <c r="AK10" i="185"/>
  <c r="K17" i="183"/>
  <c r="J17" i="183"/>
  <c r="I17" i="183"/>
  <c r="I17" i="178"/>
  <c r="J159" i="188"/>
  <c r="I154" i="188"/>
  <c r="I147" i="188"/>
  <c r="F321" i="188"/>
  <c r="I321" i="188" s="1"/>
  <c r="I207" i="188"/>
  <c r="J212" i="188"/>
  <c r="I200" i="188"/>
  <c r="E16" i="183"/>
  <c r="G220" i="188"/>
  <c r="E18" i="183"/>
  <c r="K18" i="183" s="1"/>
  <c r="C24" i="109"/>
  <c r="Q362" i="188"/>
  <c r="R362" i="188"/>
  <c r="P362" i="188"/>
  <c r="N362" i="188"/>
  <c r="O362" i="188"/>
  <c r="C13" i="177"/>
  <c r="C17" i="166"/>
  <c r="C20" i="166"/>
  <c r="P12" i="183"/>
  <c r="P14" i="183"/>
  <c r="P13" i="183"/>
  <c r="K10" i="185"/>
  <c r="AX10" i="185" s="1"/>
  <c r="E13" i="177"/>
  <c r="H31" i="178"/>
  <c r="AR10" i="185"/>
  <c r="AG10" i="185"/>
  <c r="AI10" i="185"/>
  <c r="P11" i="183"/>
  <c r="O13" i="183"/>
  <c r="O14" i="183"/>
  <c r="O12" i="183"/>
  <c r="N12" i="183"/>
  <c r="K12" i="183"/>
  <c r="J12" i="183"/>
  <c r="N14" i="183"/>
  <c r="K14" i="183"/>
  <c r="J14" i="183"/>
  <c r="N13" i="183"/>
  <c r="K13" i="183"/>
  <c r="J13" i="183"/>
  <c r="O11" i="183"/>
  <c r="N11" i="183"/>
  <c r="K11" i="183"/>
  <c r="J11" i="183"/>
  <c r="M13" i="183"/>
  <c r="I13" i="183"/>
  <c r="M14" i="183"/>
  <c r="I14" i="183"/>
  <c r="M12" i="183"/>
  <c r="I12" i="183"/>
  <c r="C10" i="109"/>
  <c r="M11" i="183"/>
  <c r="I11" i="183"/>
  <c r="BB10" i="185"/>
  <c r="C21" i="166"/>
  <c r="C25" i="166"/>
  <c r="C26" i="166"/>
  <c r="C29" i="166"/>
  <c r="C21" i="168"/>
  <c r="C25" i="168"/>
  <c r="C28" i="168"/>
  <c r="C29" i="168"/>
  <c r="C21" i="109"/>
  <c r="T10" i="185"/>
  <c r="N10" i="184"/>
  <c r="M10" i="184"/>
  <c r="N10" i="179"/>
  <c r="M10" i="179" s="1"/>
  <c r="C16" i="183"/>
  <c r="C18" i="183"/>
  <c r="C29" i="183" s="1"/>
  <c r="N10" i="185"/>
  <c r="C14" i="177"/>
  <c r="C15" i="177"/>
  <c r="C16" i="177"/>
  <c r="C19" i="177" s="1"/>
  <c r="C21" i="170"/>
  <c r="C25" i="170"/>
  <c r="C26" i="172"/>
  <c r="C28" i="172" s="1"/>
  <c r="C20" i="172"/>
  <c r="C24" i="172"/>
  <c r="C25" i="172"/>
  <c r="C27" i="170"/>
  <c r="C29" i="170"/>
  <c r="C18" i="177"/>
  <c r="BA10" i="185"/>
  <c r="V10" i="185"/>
  <c r="Y10" i="185" s="1"/>
  <c r="W10" i="185"/>
  <c r="C6" i="109"/>
  <c r="AV10" i="185"/>
  <c r="X10" i="185"/>
  <c r="Z10" i="185"/>
  <c r="AW10" i="185"/>
  <c r="C8" i="109"/>
  <c r="C7" i="109"/>
  <c r="C30" i="109"/>
  <c r="C31" i="109"/>
  <c r="H15" i="178"/>
  <c r="K15" i="178" s="1"/>
  <c r="E14" i="178"/>
  <c r="D14" i="178"/>
  <c r="F331" i="188" s="1"/>
  <c r="I331" i="188" s="1"/>
  <c r="E12" i="178"/>
  <c r="G222" i="188" s="1"/>
  <c r="J222" i="188" s="1"/>
  <c r="D12" i="178"/>
  <c r="I12" i="178" s="1"/>
  <c r="G15" i="178"/>
  <c r="D10" i="178"/>
  <c r="F112" i="188" s="1"/>
  <c r="E11" i="178"/>
  <c r="J11" i="178" s="1"/>
  <c r="D11" i="178"/>
  <c r="I11" i="178" s="1"/>
  <c r="E13" i="178"/>
  <c r="G277" i="188" s="1"/>
  <c r="J277" i="188" s="1"/>
  <c r="D13" i="178"/>
  <c r="F277" i="188" s="1"/>
  <c r="I277" i="188" s="1"/>
  <c r="H29" i="178"/>
  <c r="F15" i="178"/>
  <c r="K11" i="178"/>
  <c r="G169" i="188"/>
  <c r="J169" i="188" s="1"/>
  <c r="J12" i="178"/>
  <c r="K14" i="178"/>
  <c r="G331" i="188"/>
  <c r="J331" i="188" s="1"/>
  <c r="J14" i="178"/>
  <c r="G112" i="188"/>
  <c r="E15" i="178"/>
  <c r="K10" i="178"/>
  <c r="J10" i="178"/>
  <c r="D15" i="178"/>
  <c r="I10" i="178"/>
  <c r="J15" i="178"/>
  <c r="I14" i="178"/>
  <c r="F222" i="188"/>
  <c r="I222" i="188"/>
  <c r="F169" i="188"/>
  <c r="I169" i="188" s="1"/>
  <c r="I15" i="178"/>
  <c r="H10" i="183"/>
  <c r="G10" i="183"/>
  <c r="P10" i="183" s="1"/>
  <c r="H15" i="183"/>
  <c r="H29" i="183"/>
  <c r="H10" i="184" s="1"/>
  <c r="G15" i="183"/>
  <c r="F10" i="183"/>
  <c r="E10" i="183" s="1"/>
  <c r="T10" i="184" l="1"/>
  <c r="I159" i="188"/>
  <c r="F163" i="188"/>
  <c r="I163" i="188" s="1"/>
  <c r="B28" i="166"/>
  <c r="B27" i="166"/>
  <c r="C27" i="166" s="1"/>
  <c r="C28" i="166" s="1"/>
  <c r="C26" i="170"/>
  <c r="B31" i="174"/>
  <c r="B33" i="174" s="1"/>
  <c r="B34" i="174" s="1"/>
  <c r="I13" i="178"/>
  <c r="AB14" i="185"/>
  <c r="AA14" i="185"/>
  <c r="I214" i="188"/>
  <c r="F216" i="188"/>
  <c r="I216" i="188" s="1"/>
  <c r="K379" i="188"/>
  <c r="J18" i="183"/>
  <c r="F220" i="188"/>
  <c r="I205" i="188"/>
  <c r="AL26" i="155"/>
  <c r="F325" i="188"/>
  <c r="I325" i="188" s="1"/>
  <c r="I18" i="183"/>
  <c r="D26" i="166"/>
  <c r="G325" i="188"/>
  <c r="J325" i="188" s="1"/>
  <c r="J321" i="188"/>
  <c r="H10" i="179"/>
  <c r="AY10" i="185"/>
  <c r="N10" i="183"/>
  <c r="D10" i="183"/>
  <c r="I10" i="183" s="1"/>
  <c r="E15" i="183"/>
  <c r="J15" i="183" s="1"/>
  <c r="K10" i="183"/>
  <c r="J10" i="183"/>
  <c r="F385" i="188"/>
  <c r="I385" i="188" s="1"/>
  <c r="I112" i="188"/>
  <c r="J220" i="188"/>
  <c r="G223" i="188"/>
  <c r="H32" i="178"/>
  <c r="B27" i="168"/>
  <c r="B28" i="168"/>
  <c r="G385" i="188"/>
  <c r="D16" i="183"/>
  <c r="D18" i="183" s="1"/>
  <c r="K16" i="183"/>
  <c r="J16" i="183"/>
  <c r="F308" i="188"/>
  <c r="J308" i="188"/>
  <c r="K308" i="188"/>
  <c r="K15" i="183"/>
  <c r="AI194" i="155"/>
  <c r="AM188" i="155"/>
  <c r="C30" i="174"/>
  <c r="C29" i="178"/>
  <c r="C10" i="179" s="1"/>
  <c r="D30" i="109"/>
  <c r="D31" i="109" s="1"/>
  <c r="V9" i="200"/>
  <c r="N9" i="200"/>
  <c r="AD9" i="200"/>
  <c r="H9" i="200"/>
  <c r="AB9" i="200"/>
  <c r="J9" i="200"/>
  <c r="L9" i="200"/>
  <c r="P9" i="200"/>
  <c r="D14" i="200"/>
  <c r="X9" i="200"/>
  <c r="B37" i="176"/>
  <c r="AH20" i="155"/>
  <c r="AB108" i="155"/>
  <c r="AB113" i="155" s="1"/>
  <c r="AF108" i="155"/>
  <c r="AF113" i="155" s="1"/>
  <c r="AC108" i="155"/>
  <c r="AC113" i="155" s="1"/>
  <c r="AE113" i="155"/>
  <c r="AC102" i="155"/>
  <c r="AF102" i="155"/>
  <c r="AE107" i="155"/>
  <c r="AE114" i="155"/>
  <c r="AE119" i="155" s="1"/>
  <c r="AE135" i="155" s="1"/>
  <c r="F14" i="200"/>
  <c r="AQ14" i="155"/>
  <c r="AL14" i="155"/>
  <c r="AH14" i="155"/>
  <c r="AF111" i="155"/>
  <c r="AB111" i="155"/>
  <c r="AC111" i="155"/>
  <c r="AM176" i="155"/>
  <c r="AI181" i="155"/>
  <c r="O10" i="183"/>
  <c r="K12" i="178"/>
  <c r="F15" i="183"/>
  <c r="K13" i="178"/>
  <c r="I16" i="183"/>
  <c r="E16" i="178"/>
  <c r="F18" i="178"/>
  <c r="O10" i="185"/>
  <c r="P10" i="185" s="1"/>
  <c r="O10" i="179"/>
  <c r="F254" i="188"/>
  <c r="K254" i="188"/>
  <c r="J254" i="188"/>
  <c r="H222" i="188"/>
  <c r="H319" i="188"/>
  <c r="H316" i="188"/>
  <c r="I327" i="188"/>
  <c r="H311" i="188"/>
  <c r="H331" i="188"/>
  <c r="H308" i="188"/>
  <c r="AG25" i="155"/>
  <c r="AK13" i="155"/>
  <c r="AQ9" i="155"/>
  <c r="AQ21" i="155" s="1"/>
  <c r="AK21" i="155"/>
  <c r="AH9" i="155"/>
  <c r="AH21" i="155" s="1"/>
  <c r="AI9" i="155"/>
  <c r="AI21" i="155" s="1"/>
  <c r="AU30" i="155"/>
  <c r="AH28" i="155" s="1"/>
  <c r="AJ43" i="155"/>
  <c r="AJ57" i="155" s="1"/>
  <c r="AE151" i="155"/>
  <c r="AK151" i="155" s="1"/>
  <c r="E167" i="188"/>
  <c r="H167" i="188" s="1"/>
  <c r="H163" i="188"/>
  <c r="C8" i="176"/>
  <c r="D10" i="176"/>
  <c r="C41" i="176"/>
  <c r="J13" i="178"/>
  <c r="J112" i="188"/>
  <c r="H207" i="188"/>
  <c r="H199" i="188"/>
  <c r="F352" i="188"/>
  <c r="H14" i="201"/>
  <c r="AL36" i="155"/>
  <c r="AL38" i="155" s="1"/>
  <c r="I345" i="188"/>
  <c r="H210" i="188"/>
  <c r="H202" i="188"/>
  <c r="P360" i="188"/>
  <c r="P375" i="188" s="1"/>
  <c r="H200" i="188"/>
  <c r="I218" i="188"/>
  <c r="G23" i="178"/>
  <c r="G29" i="178" s="1"/>
  <c r="F19" i="178"/>
  <c r="G19" i="183"/>
  <c r="C26" i="176"/>
  <c r="I31" i="201"/>
  <c r="AH27" i="155"/>
  <c r="AH32" i="155" s="1"/>
  <c r="AK45" i="155"/>
  <c r="D11" i="176"/>
  <c r="C21" i="176"/>
  <c r="H346" i="188"/>
  <c r="J202" i="188"/>
  <c r="J199" i="188"/>
  <c r="H321" i="188"/>
  <c r="H377" i="188"/>
  <c r="J350" i="188"/>
  <c r="J352" i="188" s="1"/>
  <c r="Z9" i="200"/>
  <c r="C40" i="176"/>
  <c r="D40" i="176" s="1"/>
  <c r="D13" i="176"/>
  <c r="AK20" i="155"/>
  <c r="AI22" i="155"/>
  <c r="AM219" i="155"/>
  <c r="AB107" i="155"/>
  <c r="C31" i="174"/>
  <c r="C33" i="174" s="1"/>
  <c r="C34" i="174" s="1"/>
  <c r="D25" i="181"/>
  <c r="H205" i="188"/>
  <c r="E220" i="188"/>
  <c r="H220" i="188" s="1"/>
  <c r="E275" i="188"/>
  <c r="H275" i="188" s="1"/>
  <c r="H368" i="188"/>
  <c r="B8" i="176"/>
  <c r="B39" i="176" s="1"/>
  <c r="B41" i="176"/>
  <c r="AL50" i="155"/>
  <c r="E379" i="188"/>
  <c r="H379" i="188" s="1"/>
  <c r="N10" i="200"/>
  <c r="AL33" i="155"/>
  <c r="AL34" i="155" s="1"/>
  <c r="AP13" i="155"/>
  <c r="AP19" i="155"/>
  <c r="AL22" i="155"/>
  <c r="AL12" i="155"/>
  <c r="AK22" i="155"/>
  <c r="AL16" i="155"/>
  <c r="AQ16" i="155"/>
  <c r="AQ22" i="155" s="1"/>
  <c r="AI27" i="155"/>
  <c r="AK44" i="155"/>
  <c r="AK56" i="155"/>
  <c r="AN120" i="155"/>
  <c r="AN137" i="155" s="1"/>
  <c r="AC145" i="155"/>
  <c r="AC151" i="155" s="1"/>
  <c r="AP124" i="155"/>
  <c r="AO24" i="155"/>
  <c r="AO25" i="155" s="1"/>
  <c r="AO19" i="155"/>
  <c r="AG18" i="155"/>
  <c r="AG24" i="155" s="1"/>
  <c r="AQ36" i="155"/>
  <c r="AJ36" i="155"/>
  <c r="AK39" i="155"/>
  <c r="AD10" i="200"/>
  <c r="X10" i="200"/>
  <c r="V10" i="200"/>
  <c r="AB10" i="200"/>
  <c r="F10" i="200"/>
  <c r="H10" i="200"/>
  <c r="AJ181" i="155"/>
  <c r="K368" i="188"/>
  <c r="E329" i="188"/>
  <c r="H329" i="188" s="1"/>
  <c r="AL23" i="155"/>
  <c r="AQ49" i="155"/>
  <c r="AJ39" i="155"/>
  <c r="AG19" i="155"/>
  <c r="AK47" i="155"/>
  <c r="AF110" i="155"/>
  <c r="AO136" i="155"/>
  <c r="AI185" i="155"/>
  <c r="AM173" i="155"/>
  <c r="AM185" i="155" s="1"/>
  <c r="AB104" i="155"/>
  <c r="AB116" i="155" s="1"/>
  <c r="AC104" i="155"/>
  <c r="AF104" i="155"/>
  <c r="AF116" i="155" s="1"/>
  <c r="K136" i="188"/>
  <c r="G146" i="188" s="1"/>
  <c r="AL46" i="155"/>
  <c r="AL27" i="155"/>
  <c r="AQ40" i="155"/>
  <c r="AT19" i="155"/>
  <c r="AK28" i="155"/>
  <c r="AC110" i="155"/>
  <c r="AD113" i="155"/>
  <c r="AD114" i="155"/>
  <c r="AD119" i="155" s="1"/>
  <c r="AD135" i="155" s="1"/>
  <c r="AD152" i="155" s="1"/>
  <c r="AF151" i="155"/>
  <c r="AJ182" i="155"/>
  <c r="AJ187" i="155" s="1"/>
  <c r="AI184" i="155"/>
  <c r="AF105" i="155"/>
  <c r="AF117" i="155" s="1"/>
  <c r="AC105" i="155"/>
  <c r="AC117" i="155" s="1"/>
  <c r="AB105" i="155"/>
  <c r="AB117" i="155" s="1"/>
  <c r="AE117" i="155"/>
  <c r="L10" i="200"/>
  <c r="AL48" i="155"/>
  <c r="AK18" i="155"/>
  <c r="AK19" i="155" s="1"/>
  <c r="AJ20" i="155"/>
  <c r="AJ25" i="155" s="1"/>
  <c r="AI14" i="155"/>
  <c r="AJ19" i="155"/>
  <c r="AT30" i="155"/>
  <c r="AT32" i="155" s="1"/>
  <c r="AG28" i="155"/>
  <c r="AG32" i="155" s="1"/>
  <c r="AL219" i="155"/>
  <c r="AM171" i="155"/>
  <c r="AM183" i="155" s="1"/>
  <c r="AI183" i="155"/>
  <c r="P10" i="200"/>
  <c r="Z10" i="200"/>
  <c r="AI8" i="155"/>
  <c r="AQ8" i="155"/>
  <c r="AL8" i="155"/>
  <c r="AP93" i="155"/>
  <c r="AL98" i="155"/>
  <c r="AI182" i="155"/>
  <c r="AI175" i="155"/>
  <c r="AM170" i="155"/>
  <c r="AI57" i="155"/>
  <c r="AK52" i="155"/>
  <c r="AP101" i="155"/>
  <c r="AF123" i="155"/>
  <c r="AD123" i="155"/>
  <c r="AC123" i="155" s="1"/>
  <c r="AP136" i="155"/>
  <c r="AE115" i="155"/>
  <c r="AC103" i="155"/>
  <c r="AC115" i="155" s="1"/>
  <c r="AK189" i="155"/>
  <c r="AM189" i="155"/>
  <c r="AF106" i="155"/>
  <c r="AF118" i="155" s="1"/>
  <c r="AL175" i="155"/>
  <c r="AL185" i="155"/>
  <c r="AL187" i="155" s="1"/>
  <c r="AL203" i="155" s="1"/>
  <c r="AL181" i="155"/>
  <c r="AO103" i="155"/>
  <c r="AO104" i="155" s="1"/>
  <c r="AO120" i="155" s="1"/>
  <c r="AM178" i="155"/>
  <c r="AM184" i="155" s="1"/>
  <c r="AL87" i="155"/>
  <c r="AL96" i="155"/>
  <c r="AL102" i="155" s="1"/>
  <c r="AM177" i="155"/>
  <c r="AF109" i="155"/>
  <c r="AF115" i="155" s="1"/>
  <c r="AM87" i="155"/>
  <c r="AO117" i="155"/>
  <c r="AL91" i="155"/>
  <c r="AL103" i="155" s="1"/>
  <c r="AM93" i="155"/>
  <c r="AM98" i="155" s="1"/>
  <c r="AA10" i="185" l="1"/>
  <c r="G10" i="179"/>
  <c r="R360" i="188"/>
  <c r="Q360" i="188"/>
  <c r="AQ45" i="155"/>
  <c r="AL45" i="155"/>
  <c r="AM181" i="155"/>
  <c r="AL20" i="155"/>
  <c r="K146" i="188"/>
  <c r="F146" i="188"/>
  <c r="J146" i="188"/>
  <c r="G362" i="188"/>
  <c r="G152" i="188"/>
  <c r="M368" i="188"/>
  <c r="K383" i="188"/>
  <c r="AU32" i="155"/>
  <c r="AK43" i="155"/>
  <c r="D16" i="178"/>
  <c r="K16" i="178"/>
  <c r="E18" i="178"/>
  <c r="J16" i="178"/>
  <c r="AE152" i="155"/>
  <c r="AK152" i="155" s="1"/>
  <c r="I308" i="188"/>
  <c r="D15" i="183"/>
  <c r="M10" i="183"/>
  <c r="AP96" i="155"/>
  <c r="AP102" i="155" s="1"/>
  <c r="AP98" i="155"/>
  <c r="AL92" i="155"/>
  <c r="AL99" i="155"/>
  <c r="AL104" i="155" s="1"/>
  <c r="AL120" i="155" s="1"/>
  <c r="AL137" i="155" s="1"/>
  <c r="AJ189" i="155"/>
  <c r="AJ194" i="155" s="1"/>
  <c r="AK194" i="155"/>
  <c r="AK203" i="155" s="1"/>
  <c r="AK220" i="155" s="1"/>
  <c r="AL52" i="155"/>
  <c r="AQ52" i="155"/>
  <c r="AQ13" i="155"/>
  <c r="AQ20" i="155"/>
  <c r="P373" i="188"/>
  <c r="P363" i="188"/>
  <c r="P365" i="188"/>
  <c r="P370" i="188"/>
  <c r="P377" i="188"/>
  <c r="AH13" i="155"/>
  <c r="AM194" i="155"/>
  <c r="T10" i="179"/>
  <c r="AL28" i="155"/>
  <c r="AJ28" i="155"/>
  <c r="AF114" i="155"/>
  <c r="AF119" i="155" s="1"/>
  <c r="AF107" i="155"/>
  <c r="AL32" i="155"/>
  <c r="AO137" i="155"/>
  <c r="AB120" i="155"/>
  <c r="AI20" i="155"/>
  <c r="AI13" i="155"/>
  <c r="AM175" i="155"/>
  <c r="AM182" i="155"/>
  <c r="AM187" i="155" s="1"/>
  <c r="AM203" i="155" s="1"/>
  <c r="AM220" i="155" s="1"/>
  <c r="C39" i="176"/>
  <c r="AC107" i="155"/>
  <c r="AC114" i="155"/>
  <c r="AC119" i="155" s="1"/>
  <c r="AC135" i="155" s="1"/>
  <c r="AC152" i="155" s="1"/>
  <c r="AQ47" i="155"/>
  <c r="AL47" i="155"/>
  <c r="AQ39" i="155"/>
  <c r="AL39" i="155"/>
  <c r="AK32" i="155"/>
  <c r="AI36" i="155"/>
  <c r="AI38" i="155" s="1"/>
  <c r="AJ38" i="155"/>
  <c r="D26" i="176"/>
  <c r="C37" i="176"/>
  <c r="AL220" i="155"/>
  <c r="AC116" i="155"/>
  <c r="AL56" i="155"/>
  <c r="AQ56" i="155"/>
  <c r="AB114" i="155"/>
  <c r="AB119" i="155" s="1"/>
  <c r="G23" i="183"/>
  <c r="H365" i="188"/>
  <c r="H363" i="188"/>
  <c r="I381" i="188"/>
  <c r="H373" i="188"/>
  <c r="H375" i="188"/>
  <c r="N360" i="188"/>
  <c r="H385" i="188"/>
  <c r="J381" i="188"/>
  <c r="H370" i="188"/>
  <c r="O360" i="188"/>
  <c r="H362" i="188"/>
  <c r="AL9" i="155"/>
  <c r="AL21" i="155" s="1"/>
  <c r="I254" i="188"/>
  <c r="AM92" i="155"/>
  <c r="AM99" i="155"/>
  <c r="AM104" i="155" s="1"/>
  <c r="AM120" i="155" s="1"/>
  <c r="AM137" i="155" s="1"/>
  <c r="AP91" i="155"/>
  <c r="AP103" i="155" s="1"/>
  <c r="AP87" i="155"/>
  <c r="AI187" i="155"/>
  <c r="AI203" i="155" s="1"/>
  <c r="AI220" i="155" s="1"/>
  <c r="AQ18" i="155"/>
  <c r="AQ24" i="155" s="1"/>
  <c r="AI18" i="155"/>
  <c r="AI24" i="155" s="1"/>
  <c r="AK24" i="155"/>
  <c r="AK25" i="155" s="1"/>
  <c r="AK41" i="155" s="1"/>
  <c r="AH18" i="155"/>
  <c r="AH24" i="155" s="1"/>
  <c r="AH25" i="155" s="1"/>
  <c r="AH41" i="155" s="1"/>
  <c r="AH58" i="155" s="1"/>
  <c r="AJ203" i="155"/>
  <c r="AJ220" i="155" s="1"/>
  <c r="AQ44" i="155"/>
  <c r="AL44" i="155"/>
  <c r="E383" i="188"/>
  <c r="H383" i="188" s="1"/>
  <c r="E19" i="178"/>
  <c r="F23" i="178"/>
  <c r="F19" i="183"/>
  <c r="N14" i="200"/>
  <c r="Z14" i="200"/>
  <c r="H14" i="200"/>
  <c r="L14" i="200"/>
  <c r="AD14" i="200"/>
  <c r="I10" i="185" s="1"/>
  <c r="J14" i="200"/>
  <c r="V14" i="200"/>
  <c r="P14" i="200"/>
  <c r="T14" i="200"/>
  <c r="R14" i="200"/>
  <c r="X14" i="200"/>
  <c r="AB14" i="200"/>
  <c r="G10" i="185" s="1"/>
  <c r="J385" i="188"/>
  <c r="F223" i="188"/>
  <c r="I220" i="188"/>
  <c r="AQ41" i="155" l="1"/>
  <c r="D14" i="177"/>
  <c r="E23" i="178"/>
  <c r="E19" i="183"/>
  <c r="D19" i="178"/>
  <c r="K19" i="178"/>
  <c r="J19" i="178"/>
  <c r="N365" i="188"/>
  <c r="G92" i="188" s="1"/>
  <c r="N377" i="188"/>
  <c r="G104" i="188" s="1"/>
  <c r="N363" i="188"/>
  <c r="G90" i="188" s="1"/>
  <c r="N373" i="188"/>
  <c r="G100" i="188" s="1"/>
  <c r="N370" i="188"/>
  <c r="G97" i="188" s="1"/>
  <c r="N375" i="188"/>
  <c r="AF135" i="155"/>
  <c r="AF152" i="155" s="1"/>
  <c r="AL43" i="155"/>
  <c r="AL57" i="155" s="1"/>
  <c r="AQ43" i="155"/>
  <c r="AK57" i="155"/>
  <c r="AQ57" i="155" s="1"/>
  <c r="AI25" i="155"/>
  <c r="Q363" i="188"/>
  <c r="G255" i="188" s="1"/>
  <c r="Q370" i="188"/>
  <c r="G262" i="188" s="1"/>
  <c r="Q377" i="188"/>
  <c r="G269" i="188" s="1"/>
  <c r="Q373" i="188"/>
  <c r="G265" i="188" s="1"/>
  <c r="Q365" i="188"/>
  <c r="G257" i="188" s="1"/>
  <c r="Q375" i="188"/>
  <c r="I146" i="188"/>
  <c r="F152" i="188"/>
  <c r="F362" i="188"/>
  <c r="I362" i="188" s="1"/>
  <c r="AL18" i="155"/>
  <c r="AP99" i="155"/>
  <c r="AP104" i="155" s="1"/>
  <c r="AP120" i="155" s="1"/>
  <c r="AP137" i="155" s="1"/>
  <c r="AP92" i="155"/>
  <c r="AI19" i="155"/>
  <c r="AB126" i="155"/>
  <c r="AB135" i="155" s="1"/>
  <c r="AB152" i="155" s="1"/>
  <c r="AF120" i="155"/>
  <c r="AF126" i="155" s="1"/>
  <c r="AQ19" i="155"/>
  <c r="AL13" i="155"/>
  <c r="R370" i="188"/>
  <c r="R377" i="188"/>
  <c r="R363" i="188"/>
  <c r="G309" i="188" s="1"/>
  <c r="R373" i="188"/>
  <c r="R365" i="188"/>
  <c r="R375" i="188"/>
  <c r="D18" i="178"/>
  <c r="I16" i="178"/>
  <c r="AI28" i="155"/>
  <c r="AI32" i="155" s="1"/>
  <c r="AJ32" i="155"/>
  <c r="AJ41" i="155" s="1"/>
  <c r="AJ58" i="155" s="1"/>
  <c r="O365" i="188"/>
  <c r="O370" i="188"/>
  <c r="O363" i="188"/>
  <c r="O377" i="188"/>
  <c r="O373" i="188"/>
  <c r="O375" i="188"/>
  <c r="I15" i="183"/>
  <c r="S10" i="179"/>
  <c r="G167" i="188"/>
  <c r="J152" i="188"/>
  <c r="F23" i="183"/>
  <c r="AQ25" i="155"/>
  <c r="J18" i="178"/>
  <c r="E29" i="178"/>
  <c r="K18" i="178"/>
  <c r="J362" i="188"/>
  <c r="L362" i="188"/>
  <c r="AH19" i="155"/>
  <c r="G29" i="183"/>
  <c r="F29" i="178"/>
  <c r="G267" i="188" l="1"/>
  <c r="F265" i="188"/>
  <c r="I265" i="188" s="1"/>
  <c r="J265" i="188"/>
  <c r="F29" i="183"/>
  <c r="I18" i="178"/>
  <c r="AL19" i="155"/>
  <c r="AL24" i="155"/>
  <c r="AL25" i="155" s="1"/>
  <c r="AL41" i="155" s="1"/>
  <c r="AL58" i="155" s="1"/>
  <c r="G271" i="188"/>
  <c r="J271" i="188" s="1"/>
  <c r="J262" i="188"/>
  <c r="F262" i="188"/>
  <c r="D19" i="183"/>
  <c r="D23" i="178"/>
  <c r="I19" i="178"/>
  <c r="J269" i="188"/>
  <c r="F269" i="188"/>
  <c r="I269" i="188" s="1"/>
  <c r="F255" i="188"/>
  <c r="J255" i="188"/>
  <c r="G260" i="188"/>
  <c r="J97" i="188"/>
  <c r="G370" i="188"/>
  <c r="G106" i="188"/>
  <c r="J106" i="188" s="1"/>
  <c r="F97" i="188"/>
  <c r="K19" i="183"/>
  <c r="E23" i="183"/>
  <c r="J19" i="183"/>
  <c r="J167" i="188"/>
  <c r="G170" i="188"/>
  <c r="F167" i="188"/>
  <c r="I152" i="188"/>
  <c r="J100" i="188"/>
  <c r="G102" i="188"/>
  <c r="F100" i="188"/>
  <c r="G373" i="188"/>
  <c r="K23" i="178"/>
  <c r="J23" i="178"/>
  <c r="AI41" i="155"/>
  <c r="AI58" i="155" s="1"/>
  <c r="F90" i="188"/>
  <c r="G363" i="188"/>
  <c r="G95" i="188"/>
  <c r="J90" i="188"/>
  <c r="E14" i="177"/>
  <c r="E15" i="177" s="1"/>
  <c r="E16" i="177" s="1"/>
  <c r="D15" i="177"/>
  <c r="D16" i="177" s="1"/>
  <c r="F10" i="179"/>
  <c r="G10" i="184"/>
  <c r="E32" i="178"/>
  <c r="J10" i="185"/>
  <c r="E10" i="179"/>
  <c r="V10" i="179" s="1"/>
  <c r="K29" i="178"/>
  <c r="J29" i="178"/>
  <c r="G377" i="188"/>
  <c r="J104" i="188"/>
  <c r="F104" i="188"/>
  <c r="AK58" i="155"/>
  <c r="AQ58" i="155" s="1"/>
  <c r="F309" i="188"/>
  <c r="J309" i="188"/>
  <c r="G314" i="188"/>
  <c r="F257" i="188"/>
  <c r="I257" i="188" s="1"/>
  <c r="J257" i="188"/>
  <c r="J92" i="188"/>
  <c r="G365" i="188"/>
  <c r="F92" i="188"/>
  <c r="S10" i="184" l="1"/>
  <c r="J377" i="188"/>
  <c r="L377" i="188"/>
  <c r="F170" i="188"/>
  <c r="I167" i="188"/>
  <c r="G379" i="188"/>
  <c r="L370" i="188"/>
  <c r="J370" i="188"/>
  <c r="F388" i="188"/>
  <c r="G388" i="188" s="1"/>
  <c r="I23" i="178"/>
  <c r="D29" i="178"/>
  <c r="F370" i="188"/>
  <c r="I97" i="188"/>
  <c r="I90" i="188"/>
  <c r="F363" i="188"/>
  <c r="I363" i="188" s="1"/>
  <c r="F95" i="188"/>
  <c r="G329" i="188"/>
  <c r="J314" i="188"/>
  <c r="R10" i="179"/>
  <c r="D23" i="183"/>
  <c r="I19" i="183"/>
  <c r="F10" i="184"/>
  <c r="G275" i="188"/>
  <c r="J260" i="188"/>
  <c r="I262" i="188"/>
  <c r="L363" i="188"/>
  <c r="J363" i="188"/>
  <c r="G368" i="188"/>
  <c r="J373" i="188"/>
  <c r="L373" i="188"/>
  <c r="I309" i="188"/>
  <c r="F314" i="188"/>
  <c r="L10" i="185"/>
  <c r="M10" i="185" s="1"/>
  <c r="Q10" i="185"/>
  <c r="R10" i="185" s="1"/>
  <c r="F373" i="188"/>
  <c r="I100" i="188"/>
  <c r="K23" i="183"/>
  <c r="E29" i="183"/>
  <c r="J23" i="183"/>
  <c r="I255" i="188"/>
  <c r="F260" i="188"/>
  <c r="K10" i="179"/>
  <c r="J10" i="179"/>
  <c r="W10" i="179"/>
  <c r="F365" i="188"/>
  <c r="I92" i="188"/>
  <c r="J365" i="188"/>
  <c r="G387" i="188"/>
  <c r="L365" i="188"/>
  <c r="F377" i="188"/>
  <c r="I104" i="188"/>
  <c r="J95" i="188"/>
  <c r="G110" i="188"/>
  <c r="J102" i="188"/>
  <c r="G375" i="188"/>
  <c r="F102" i="188"/>
  <c r="F106" i="188" s="1"/>
  <c r="F267" i="188"/>
  <c r="I267" i="188" s="1"/>
  <c r="J267" i="188"/>
  <c r="I106" i="188" l="1"/>
  <c r="C23" i="181"/>
  <c r="I377" i="188"/>
  <c r="J379" i="188"/>
  <c r="L379" i="188"/>
  <c r="I260" i="188"/>
  <c r="F275" i="188"/>
  <c r="F271" i="188"/>
  <c r="I271" i="188" s="1"/>
  <c r="I373" i="188"/>
  <c r="C21" i="181"/>
  <c r="D29" i="183"/>
  <c r="I23" i="183"/>
  <c r="I102" i="188"/>
  <c r="F375" i="188"/>
  <c r="G389" i="188"/>
  <c r="G390" i="188" s="1"/>
  <c r="F329" i="188"/>
  <c r="I314" i="188"/>
  <c r="I370" i="188"/>
  <c r="C20" i="181"/>
  <c r="C24" i="181" s="1"/>
  <c r="C25" i="181" s="1"/>
  <c r="C26" i="181" s="1"/>
  <c r="L375" i="188"/>
  <c r="J375" i="188"/>
  <c r="D10" i="179"/>
  <c r="I10" i="179" s="1"/>
  <c r="I29" i="178"/>
  <c r="J329" i="188"/>
  <c r="G332" i="188"/>
  <c r="E10" i="184"/>
  <c r="K29" i="183"/>
  <c r="J29" i="183"/>
  <c r="J275" i="188"/>
  <c r="G278" i="188"/>
  <c r="I365" i="188"/>
  <c r="F387" i="188"/>
  <c r="R10" i="184"/>
  <c r="F110" i="188"/>
  <c r="F368" i="188"/>
  <c r="I368" i="188" s="1"/>
  <c r="I95" i="188"/>
  <c r="V10" i="184"/>
  <c r="G113" i="188"/>
  <c r="J110" i="188"/>
  <c r="J368" i="188"/>
  <c r="L368" i="188"/>
  <c r="G383" i="188"/>
  <c r="C22" i="181" l="1"/>
  <c r="I375" i="188"/>
  <c r="I275" i="188"/>
  <c r="F278" i="188"/>
  <c r="K10" i="184"/>
  <c r="W10" i="184"/>
  <c r="J10" i="184"/>
  <c r="L383" i="188"/>
  <c r="J383" i="188"/>
  <c r="U10" i="179"/>
  <c r="I110" i="188"/>
  <c r="F383" i="188"/>
  <c r="I383" i="188" s="1"/>
  <c r="F113" i="188"/>
  <c r="D10" i="184"/>
  <c r="I10" i="184" s="1"/>
  <c r="I29" i="183"/>
  <c r="F332" i="188"/>
  <c r="I329" i="188"/>
  <c r="F379" i="188"/>
  <c r="I379" i="188" s="1"/>
  <c r="U10" i="184" l="1"/>
  <c r="F389" i="188"/>
  <c r="F390" i="188" s="1"/>
</calcChain>
</file>

<file path=xl/sharedStrings.xml><?xml version="1.0" encoding="utf-8"?>
<sst xmlns="http://schemas.openxmlformats.org/spreadsheetml/2006/main" count="2248" uniqueCount="883">
  <si>
    <t>Бюджетга тўловларнинг кечиктирилганлиги учун молиявий жазолар( ФРНО)</t>
  </si>
  <si>
    <t>бош хисобчи</t>
  </si>
  <si>
    <t>Давлат максадли жамгармларига ажратма</t>
  </si>
  <si>
    <t>Бюджетдан ташқари   15 модда  ажратмалар</t>
  </si>
  <si>
    <t>2023 йил 4- чорак</t>
  </si>
  <si>
    <t xml:space="preserve">  </t>
  </si>
  <si>
    <t>Бухгалтерия баланси №1-сонли шакл 2023й  4-чорак(Йиллик)</t>
  </si>
  <si>
    <t>Узоқ муддатли банк кредитлари (7810)</t>
  </si>
  <si>
    <t>570</t>
  </si>
  <si>
    <t>Узоқ муддатли қарзлар (7820, 7830, 7840)</t>
  </si>
  <si>
    <t>580</t>
  </si>
  <si>
    <t>Бошқа узоқ муддатли кредиторлик қарзлар (7900)</t>
  </si>
  <si>
    <t>590</t>
  </si>
  <si>
    <t>600</t>
  </si>
  <si>
    <t>шу жумладан: жорий кредиторлик қарзлари (сатр.610+630+650+670+680+690+ +700+710+720+760)</t>
  </si>
  <si>
    <t>601</t>
  </si>
  <si>
    <t>шундан: муддати ўтган жорий кредиторлик қарзлари*</t>
  </si>
  <si>
    <t>602</t>
  </si>
  <si>
    <t>Мол етказиб берувчилар ва пудратчиларга қарз (6000)</t>
  </si>
  <si>
    <t>610</t>
  </si>
  <si>
    <t>Ажратилган бўлинмаларга қарз (6110)</t>
  </si>
  <si>
    <t>620</t>
  </si>
  <si>
    <t>Шўъба ва қарам хўжалик жамиятларга қарз (6120)</t>
  </si>
  <si>
    <t>630</t>
  </si>
  <si>
    <t>Кечиктирилган даромадлар (6210, 6220, 6230)</t>
  </si>
  <si>
    <t>640</t>
  </si>
  <si>
    <t>Солиқ ва бошқа мажбурий тўловлар бўйича кечиктирилган мажбуриятлар (6240)</t>
  </si>
  <si>
    <t>650</t>
  </si>
  <si>
    <t>Бошқа кечиктирилган мажбуриятлар (6250, 6290)</t>
  </si>
  <si>
    <t>660</t>
  </si>
  <si>
    <t>Олинган бўнаклар (6300)</t>
  </si>
  <si>
    <t>670</t>
  </si>
  <si>
    <t>Бюджетга тўловлар бўйича қарз (6400)</t>
  </si>
  <si>
    <t>680</t>
  </si>
  <si>
    <t>Суғурталар бўйича қарз (6510)</t>
  </si>
  <si>
    <t>690</t>
  </si>
  <si>
    <t>Мақсадли давлат жамғармаларига тўловлар бўйича қарз (6520)</t>
  </si>
  <si>
    <t>700</t>
  </si>
  <si>
    <t>Таъсисчиларга бўлган қарзлар (6600)</t>
  </si>
  <si>
    <t>710</t>
  </si>
  <si>
    <t>Меҳнатга ҳақ тўлаш бўйича қарз (6700)</t>
  </si>
  <si>
    <t>720</t>
  </si>
  <si>
    <t>Қисқа муддатли банк кредитлари (6810)</t>
  </si>
  <si>
    <t>730</t>
  </si>
  <si>
    <t>Қисқа муддатли қарзлар (6820, 6830, 6840)</t>
  </si>
  <si>
    <t>740</t>
  </si>
  <si>
    <t>Узоқ муддатли мажбуриятларнинг жорий қисми (6950)</t>
  </si>
  <si>
    <t>750</t>
  </si>
  <si>
    <t>Бошқа кредиторлик қарзлар (6950 дан ташқари 6900)</t>
  </si>
  <si>
    <t>760</t>
  </si>
  <si>
    <t>II бўлим бўйича жами (сатр.490+600)</t>
  </si>
  <si>
    <t>770</t>
  </si>
  <si>
    <t>Баланс пассиви бўйича жами (сатр.480+770)</t>
  </si>
  <si>
    <t>780</t>
  </si>
  <si>
    <t>Жорий мажбуриятлар, жами (сатр.610+630+640+650+660+670+680+690+700+710+720+730+740+750+760)</t>
  </si>
  <si>
    <t>Ҳисобот даври бошига</t>
  </si>
  <si>
    <t>Ҳисобот даври охирига</t>
  </si>
  <si>
    <t>Балансдан ташқари счётларда ҳисобга олинадиган қийматликларнинг мавжудлиги тўғрисида маълумот</t>
  </si>
  <si>
    <t>Оператив ижарага олинган асосий воситалар (001)</t>
  </si>
  <si>
    <t>Масъул сақлашга қабул қилинган товар-моддий қийматликлар (002)</t>
  </si>
  <si>
    <t>800</t>
  </si>
  <si>
    <t>Қайта ишлашга қабул қилинган материаллар (003)</t>
  </si>
  <si>
    <t>810</t>
  </si>
  <si>
    <t>Комиссияга қабул қилинган товарлар (004)</t>
  </si>
  <si>
    <t>820</t>
  </si>
  <si>
    <t>Ўрнатиш учун қабул қилинган ускуналар (005)</t>
  </si>
  <si>
    <t>830</t>
  </si>
  <si>
    <t>Қатъий ҳисобот бланкалари (006)</t>
  </si>
  <si>
    <t>840</t>
  </si>
  <si>
    <t>Тўловга қобилиятсиз дебиторларнинг зарарга ҳисобдан чиқарилган қарзи (007)</t>
  </si>
  <si>
    <t>850</t>
  </si>
  <si>
    <t>Олинган мажбурият ва тўловларнинг таъминоти (008)</t>
  </si>
  <si>
    <t>860</t>
  </si>
  <si>
    <t>Берилган мажбурият ва тўловларнинг таъминоти (009)</t>
  </si>
  <si>
    <t>870</t>
  </si>
  <si>
    <t>Молиявий ижара шартномаси бўйича берилган асосий воситалар (010)</t>
  </si>
  <si>
    <t>880</t>
  </si>
  <si>
    <t>Ссуда шартномаси бўйича олинган мулклар (011)</t>
  </si>
  <si>
    <t>890</t>
  </si>
  <si>
    <t>Келгуси даврларда солиқ солинадиган базадан чиқариладиган харажатлар (012)</t>
  </si>
  <si>
    <t>900</t>
  </si>
  <si>
    <t>Вақтинчалик солиқ имтиёзлари (турлари бўйича) (013)</t>
  </si>
  <si>
    <t>910</t>
  </si>
  <si>
    <t>Фойдаланишдаги инвентар ва хўжалик жиҳозлари (014)</t>
  </si>
  <si>
    <t>920</t>
  </si>
  <si>
    <t>Ўлчов бирлиги, минг сўм</t>
  </si>
  <si>
    <t xml:space="preserve">    </t>
  </si>
  <si>
    <t>Тармоқ:    Ишлаб чикариш.</t>
  </si>
  <si>
    <t>Корхона, ташкилот:    "MITAN PAXTA TOZALASH" А.Ж.</t>
  </si>
  <si>
    <t>Мулкчилик шакли:    Жамоавий</t>
  </si>
  <si>
    <t>Вазирлик, идора ва бошқалар:   "O`ZPAXTASANOAT" AJ</t>
  </si>
  <si>
    <t>Ҳудуд:    САМАРҚАНД ВИЛОЯТИ ИШТИХОН тумани</t>
  </si>
  <si>
    <t>Манзил:    НАЪМУНА МФЙ А.ТЕМУР КУЧАСИ, 11-УЙ.</t>
  </si>
  <si>
    <t>Олинган тайёр махсулот</t>
  </si>
  <si>
    <t>Сорт</t>
  </si>
  <si>
    <t>Тайёрлан-ган пахта</t>
  </si>
  <si>
    <t>Сумма без НДС</t>
  </si>
  <si>
    <t>2/2</t>
  </si>
  <si>
    <t>3</t>
  </si>
  <si>
    <t>Биржа савдоси</t>
  </si>
  <si>
    <t>Прескурант</t>
  </si>
  <si>
    <t>Сверка</t>
  </si>
  <si>
    <t>1-урта Б</t>
  </si>
  <si>
    <t>по форме 5-С за 01-сентября 2018 год - 01-октябрь 2018 года . по "Митан пахта тозалаш" АЖ</t>
  </si>
  <si>
    <t>01.01.2019 йилга омбордаги колдик</t>
  </si>
  <si>
    <t>01.01.2019 йилга</t>
  </si>
  <si>
    <t xml:space="preserve">плановых за 1-квартал 2019 год </t>
  </si>
  <si>
    <t>2019 йил 1-чорак учун</t>
  </si>
  <si>
    <t>по форме 5-С за 01-сентября 2018 год - 01-апрель 2019 года . по "Митан пахта тозалаш" АЖ</t>
  </si>
  <si>
    <t>1-олий Б</t>
  </si>
  <si>
    <t>1-ифлос Б</t>
  </si>
  <si>
    <t>Пахта завод номи</t>
  </si>
  <si>
    <t>Тукли, туксиз</t>
  </si>
  <si>
    <t>Селеция нави</t>
  </si>
  <si>
    <t>Авлоди</t>
  </si>
  <si>
    <t>Дориланган, дориланмаган</t>
  </si>
  <si>
    <t>Физик вазн</t>
  </si>
  <si>
    <t>Конд.вазн</t>
  </si>
  <si>
    <t>Сумма</t>
  </si>
  <si>
    <t>Тукли</t>
  </si>
  <si>
    <t>R-2</t>
  </si>
  <si>
    <t>Дориланмаган</t>
  </si>
  <si>
    <t>R-1</t>
  </si>
  <si>
    <t>Порлок-5</t>
  </si>
  <si>
    <t>Х</t>
  </si>
  <si>
    <t>Жами дориланган:</t>
  </si>
  <si>
    <t>Жами дориланмаган:</t>
  </si>
  <si>
    <t>Жами:</t>
  </si>
  <si>
    <t>Бошка заводлардан келтирилган</t>
  </si>
  <si>
    <t>"Жума пахта тозалаш" АЖ</t>
  </si>
  <si>
    <t>Бухоро-102</t>
  </si>
  <si>
    <t>П-4</t>
  </si>
  <si>
    <t>"Зиёвуддин пахта тозалаш" АЖ</t>
  </si>
  <si>
    <t>Порлок-1</t>
  </si>
  <si>
    <t>Элита</t>
  </si>
  <si>
    <t>"Каттакургон пахта тозалаш" АЖ</t>
  </si>
  <si>
    <t>"Зирабулок пахта тозалаш" АЖ</t>
  </si>
  <si>
    <t>Бошка заводларга берилган</t>
  </si>
  <si>
    <t>Бахор</t>
  </si>
  <si>
    <t>"Челак пахта тозалаш" АЖ</t>
  </si>
  <si>
    <t>Уруглик чигит товаршуноси:</t>
  </si>
  <si>
    <t>Бухоро-6</t>
  </si>
  <si>
    <t>Султон</t>
  </si>
  <si>
    <t>Далброн</t>
  </si>
  <si>
    <t>С-8286</t>
  </si>
  <si>
    <t>"Митан пахта тозалаш" АЖ. 2019 йил пахта хосилига экиш учун бошка пахта заводлардан келтирилган ва берилган уруглик чигит тугрисида</t>
  </si>
  <si>
    <t>"Митан пахта тозалаш" АЖ. 2019 йил пахта хосилига экиш учун хужаликларга таркатилган уруглик чигит тугрисида.</t>
  </si>
  <si>
    <t>Хужаликлар номи</t>
  </si>
  <si>
    <t>Счёт факура</t>
  </si>
  <si>
    <t>Санаси</t>
  </si>
  <si>
    <t>"Мароканд сифат текстил" МЧЖ</t>
  </si>
  <si>
    <t>С-8286 дориланмаган</t>
  </si>
  <si>
    <t>Суп.элита</t>
  </si>
  <si>
    <t>"Пири мулки Окдарё" ф.х</t>
  </si>
  <si>
    <t>Султон Дориланмаган</t>
  </si>
  <si>
    <r>
      <t xml:space="preserve">Шу жумладан :чигитга ишлов  бериш цехидан </t>
    </r>
    <r>
      <rPr>
        <b/>
        <sz val="12"/>
        <rFont val="Times New Roman"/>
        <family val="1"/>
        <charset val="204"/>
      </rPr>
      <t>чикарилгани</t>
    </r>
  </si>
  <si>
    <r>
      <t>Бошка ПТКлардан олинди-</t>
    </r>
    <r>
      <rPr>
        <b/>
        <sz val="12"/>
        <rFont val="Times New Roman"/>
        <family val="1"/>
        <charset val="204"/>
      </rPr>
      <t>цех чикган</t>
    </r>
  </si>
  <si>
    <r>
      <t>Бошка ПТКлардан олинди-</t>
    </r>
    <r>
      <rPr>
        <b/>
        <sz val="12"/>
        <rFont val="Times New Roman"/>
        <family val="1"/>
        <charset val="204"/>
      </rPr>
      <t>цех чикмаган</t>
    </r>
  </si>
  <si>
    <r>
      <t>Бошка вилоят ПТКларидан олинди-</t>
    </r>
    <r>
      <rPr>
        <b/>
        <sz val="12"/>
        <rFont val="Times New Roman"/>
        <family val="1"/>
        <charset val="204"/>
      </rPr>
      <t>цех чикган</t>
    </r>
  </si>
  <si>
    <r>
      <t>Бошка вилоят ПТКларидан олинди-</t>
    </r>
    <r>
      <rPr>
        <b/>
        <sz val="12"/>
        <rFont val="Times New Roman"/>
        <family val="1"/>
        <charset val="204"/>
      </rPr>
      <t>цех чикмаган</t>
    </r>
  </si>
  <si>
    <r>
      <t>Бошка ПТКларга жунатилди-</t>
    </r>
    <r>
      <rPr>
        <b/>
        <sz val="12"/>
        <rFont val="Times New Roman"/>
        <family val="1"/>
        <charset val="204"/>
      </rPr>
      <t>цех чикган</t>
    </r>
  </si>
  <si>
    <r>
      <t>Бошка ПТКларга жунатилди-</t>
    </r>
    <r>
      <rPr>
        <b/>
        <sz val="12"/>
        <rFont val="Times New Roman"/>
        <family val="1"/>
        <charset val="204"/>
      </rPr>
      <t>цех чикмаган</t>
    </r>
  </si>
  <si>
    <r>
      <t>Бошка вилоятдаги ПТКларга жунатилди-</t>
    </r>
    <r>
      <rPr>
        <b/>
        <sz val="12"/>
        <rFont val="Times New Roman"/>
        <family val="1"/>
        <charset val="204"/>
      </rPr>
      <t>цех чикган</t>
    </r>
  </si>
  <si>
    <r>
      <t>Бошка вилоятдаги ПТКларга жунатилди-</t>
    </r>
    <r>
      <rPr>
        <b/>
        <sz val="12"/>
        <rFont val="Times New Roman"/>
        <family val="1"/>
        <charset val="204"/>
      </rPr>
      <t>цех чикмаган</t>
    </r>
  </si>
  <si>
    <t>товарной продукции за 2-квартал 2019  года</t>
  </si>
  <si>
    <t>1. Остаток на 01.01.2019 г.</t>
  </si>
  <si>
    <t>2018 й Хасил</t>
  </si>
  <si>
    <t>Хаммаси</t>
  </si>
  <si>
    <t>за 2-квартал 2019 год.</t>
  </si>
  <si>
    <t>Кип сони</t>
  </si>
  <si>
    <t>Махсулотлар</t>
  </si>
  <si>
    <t>Бошка иш ва хизматлар ижара</t>
  </si>
  <si>
    <t>2019 йилда саноат махсулотлари  сотилиши натижасининг хисоботи</t>
  </si>
  <si>
    <t>Октябрь-ноябрь-декабрь</t>
  </si>
  <si>
    <t>по форме 5-С за 2019 год. по "Митан пахта тозалаш" АЖ</t>
  </si>
  <si>
    <t>по форме 5-С за 2019 год. по  "Митан пахта тозалаш" АЖ</t>
  </si>
  <si>
    <t>"Митан пахта тозалаш" АЖ.да 2019 йилда 2018 йил пахта хосилини кайта ишлашдан олинган тайёр махсулотлар тугрисида</t>
  </si>
  <si>
    <t>5. Остаток на 01.01.2020 г.</t>
  </si>
  <si>
    <t xml:space="preserve">"Митан пахта тозалаш" АЖ.да 2019 йилда солик буйича хисобланган ва туланган маблаглар </t>
  </si>
  <si>
    <t>01.01.2020 холатига</t>
  </si>
  <si>
    <t>.</t>
  </si>
  <si>
    <t xml:space="preserve"> 2019 йилда</t>
  </si>
  <si>
    <t>Колдик 01.01.2020 га</t>
  </si>
  <si>
    <t>"Митан пахта тозалаш" АЖ.да 2019 йилда уруглик чигит харакати</t>
  </si>
  <si>
    <t>01.01.2020  йилга омбордаги колдик</t>
  </si>
  <si>
    <t>Корхона рахбари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</si>
  <si>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</si>
  <si>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</si>
  <si>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</si>
  <si>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</si>
  <si>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</si>
  <si>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</si>
  <si>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</si>
  <si>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</si>
  <si>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</si>
  <si>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</si>
  <si>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</si>
  <si>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</si>
  <si>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</si>
  <si>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</si>
  <si>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290</t>
  </si>
  <si>
    <t>Саноат нави ____2____ Вазни ____________</t>
  </si>
  <si>
    <t>Ягона ер солиги</t>
  </si>
  <si>
    <t>Жами тола</t>
  </si>
  <si>
    <t>Техник чигит I сорт</t>
  </si>
  <si>
    <t>Ишлов беришда уругликдан техник чигитга утказилди.</t>
  </si>
  <si>
    <t>А. Бахолардаги фарк</t>
  </si>
  <si>
    <t>саноат нави буйича</t>
  </si>
  <si>
    <t>Хом ашё таркибидаги толанинг</t>
  </si>
  <si>
    <t>Посевн семян</t>
  </si>
  <si>
    <t>Истисно килинади:</t>
  </si>
  <si>
    <t>0 2</t>
  </si>
  <si>
    <t xml:space="preserve">Руководител </t>
  </si>
  <si>
    <t>Уров материаллари</t>
  </si>
  <si>
    <t>2. Ишлов бериш харажатлари</t>
  </si>
  <si>
    <t>0 4</t>
  </si>
  <si>
    <t>Пули туланди</t>
  </si>
  <si>
    <t>Экспортга юборилди</t>
  </si>
  <si>
    <t>Чиким жами :</t>
  </si>
  <si>
    <t>Устав капитали (8300)</t>
  </si>
  <si>
    <t>2. Дооценка остатков продукции</t>
  </si>
  <si>
    <t>3. Выработано товарной продукции</t>
  </si>
  <si>
    <t>4. Реализованно товарной продукции</t>
  </si>
  <si>
    <t xml:space="preserve">          V сорт</t>
  </si>
  <si>
    <t>Руководитель</t>
  </si>
  <si>
    <t xml:space="preserve">     в товарах отгруженных</t>
  </si>
  <si>
    <t>Саноат нави ___4_____ Вазни ____________</t>
  </si>
  <si>
    <t>0 5</t>
  </si>
  <si>
    <t>Тайёрлаш транспорт харажатлари</t>
  </si>
  <si>
    <t>0 1</t>
  </si>
  <si>
    <t>Ишлов беришда гардлар учун хисобдан чикарилди.</t>
  </si>
  <si>
    <r>
      <t xml:space="preserve">МАНЗИЛИ: </t>
    </r>
    <r>
      <rPr>
        <b/>
        <sz val="14"/>
        <rFont val="Arial Cyr"/>
        <charset val="204"/>
      </rPr>
      <t>Иштихон туман Митан кургони А.Темур куч 11 уй</t>
    </r>
  </si>
  <si>
    <t>булган даврда пахта толаси харакатининг</t>
  </si>
  <si>
    <t>БАЛАНСИ</t>
  </si>
  <si>
    <t>НОМИ</t>
  </si>
  <si>
    <t>Урта толали</t>
  </si>
  <si>
    <t>Производственная с-стоимость</t>
  </si>
  <si>
    <t>Затраты на 1 сум</t>
  </si>
  <si>
    <t>ТЕЖАШ</t>
  </si>
  <si>
    <t>по "Митан пахта тозалаш" АЖ</t>
  </si>
  <si>
    <t>"Митан пахта тозалаш" АЖ.да</t>
  </si>
  <si>
    <t>Жами бокиманда</t>
  </si>
  <si>
    <t>2 тасниф</t>
  </si>
  <si>
    <t>022</t>
  </si>
  <si>
    <t>030</t>
  </si>
  <si>
    <t>бахоси  (ст 01+02-03)</t>
  </si>
  <si>
    <t>бахоси чегирилган хом-ашё</t>
  </si>
  <si>
    <t>тической себестоимости</t>
  </si>
  <si>
    <t xml:space="preserve">УЗУН ВА УРТА ТОЛАЛИ </t>
  </si>
  <si>
    <t>КАЛЬКУЛЯЦИЯСИ</t>
  </si>
  <si>
    <t>ларнинг</t>
  </si>
  <si>
    <t>х</t>
  </si>
  <si>
    <t>Кушилган киймат солиги</t>
  </si>
  <si>
    <t>Пенсия жамгармасига ажратма 1,6 %</t>
  </si>
  <si>
    <t>Йул жамгармасига мажбурий тулов 1,4%</t>
  </si>
  <si>
    <t>010</t>
  </si>
  <si>
    <t>011</t>
  </si>
  <si>
    <t>Уруглик чигитга ишлов бериш цехига юборилди.                        (Чигитни экишга мужалланган кисми)</t>
  </si>
  <si>
    <t xml:space="preserve">                    III сорт</t>
  </si>
  <si>
    <t>по утвер</t>
  </si>
  <si>
    <t>ао пл с/с-ти</t>
  </si>
  <si>
    <t>Курсаткичлар номи</t>
  </si>
  <si>
    <t>бошка харажатлар</t>
  </si>
  <si>
    <t>Рентабелност</t>
  </si>
  <si>
    <t xml:space="preserve">Расходы </t>
  </si>
  <si>
    <t>Расходы лента</t>
  </si>
  <si>
    <t>Расход упаковочн</t>
  </si>
  <si>
    <t>Расход затрат</t>
  </si>
  <si>
    <t>Расход топливо на</t>
  </si>
  <si>
    <t>Оснавные средства т.с.</t>
  </si>
  <si>
    <t>Фондо-</t>
  </si>
  <si>
    <t>Наличие соб-</t>
  </si>
  <si>
    <t>Норматив</t>
  </si>
  <si>
    <t>Недостатка</t>
  </si>
  <si>
    <t>Дебиторы</t>
  </si>
  <si>
    <t>Расчёт</t>
  </si>
  <si>
    <t>Креди-</t>
  </si>
  <si>
    <t>предприятий</t>
  </si>
  <si>
    <t>хлопко</t>
  </si>
  <si>
    <t>хлопка-</t>
  </si>
  <si>
    <t>по норме</t>
  </si>
  <si>
    <t>Фактическ</t>
  </si>
  <si>
    <t>товарной</t>
  </si>
  <si>
    <t>ственная</t>
  </si>
  <si>
    <t>затрат на 1</t>
  </si>
  <si>
    <t>елност</t>
  </si>
  <si>
    <t>периода</t>
  </si>
  <si>
    <t>по финан-</t>
  </si>
  <si>
    <t>себестоим</t>
  </si>
  <si>
    <t>рат на 1</t>
  </si>
  <si>
    <t>с учётам</t>
  </si>
  <si>
    <t>1 тонн хлопк-волок (сумма)</t>
  </si>
  <si>
    <t>ручка от</t>
  </si>
  <si>
    <t>овая</t>
  </si>
  <si>
    <t>прибыл оста-</t>
  </si>
  <si>
    <t>реализованной</t>
  </si>
  <si>
    <t>провол. Тонн</t>
  </si>
  <si>
    <t>тыс компл</t>
  </si>
  <si>
    <t>материал тыс компл</t>
  </si>
  <si>
    <t>материал  шал тыс компл</t>
  </si>
  <si>
    <t>Мактаб таълими жамгармасига мажбурий тулов</t>
  </si>
  <si>
    <t>Сатр</t>
  </si>
  <si>
    <t>№</t>
  </si>
  <si>
    <t>120</t>
  </si>
  <si>
    <t>080</t>
  </si>
  <si>
    <t>Тегирмон хизмати</t>
  </si>
  <si>
    <t>БОШ ХИСОБЧИ:</t>
  </si>
  <si>
    <t>Б.Пахта момиги</t>
  </si>
  <si>
    <t>А. Пахта чигити</t>
  </si>
  <si>
    <t>Техник чигитдан уругликка уткааилади</t>
  </si>
  <si>
    <t>План</t>
  </si>
  <si>
    <t>факт</t>
  </si>
  <si>
    <t>плану</t>
  </si>
  <si>
    <t>в)по загатов.транспорт,расход</t>
  </si>
  <si>
    <t>г)по выходам и качеству</t>
  </si>
  <si>
    <t>побочный продукции</t>
  </si>
  <si>
    <t>Расходы по обработке :</t>
  </si>
  <si>
    <t>а) Упаковичные материалы</t>
  </si>
  <si>
    <t>б) Зарплата оснав и допол.</t>
  </si>
  <si>
    <t>в) отчисление в соцстрах</t>
  </si>
  <si>
    <t>г) Общепроизв расходы</t>
  </si>
  <si>
    <t>Итого расходы по обраб.</t>
  </si>
  <si>
    <t>Эконом.</t>
  </si>
  <si>
    <t>0 3</t>
  </si>
  <si>
    <t>Уругчилик МЧЖ</t>
  </si>
  <si>
    <t>Итого</t>
  </si>
  <si>
    <t>Жисмоний шахслардан даромад солиги</t>
  </si>
  <si>
    <t>фактич</t>
  </si>
  <si>
    <t>110</t>
  </si>
  <si>
    <t>020</t>
  </si>
  <si>
    <t>021</t>
  </si>
  <si>
    <t>Саноат нави ____3____ Вазни ____________</t>
  </si>
  <si>
    <t xml:space="preserve">плановая </t>
  </si>
  <si>
    <t>Хисоб буйича хисоб-ланди</t>
  </si>
  <si>
    <t>Пахтанинг харид бахоси</t>
  </si>
  <si>
    <t>Резерв капитали (8500)</t>
  </si>
  <si>
    <t>Металлом</t>
  </si>
  <si>
    <t>Акциз солиги</t>
  </si>
  <si>
    <t>тонна</t>
  </si>
  <si>
    <t>Ишлаб чикаришдан олинди</t>
  </si>
  <si>
    <t>Выработано</t>
  </si>
  <si>
    <t>Бошка киримлар</t>
  </si>
  <si>
    <t>калькуляцияси моддалари</t>
  </si>
  <si>
    <t>Юридик шахслар мол-мулки солиги</t>
  </si>
  <si>
    <t>Юридик шахслардан олинадиган ер солиги</t>
  </si>
  <si>
    <t>Ягона солик тулови</t>
  </si>
  <si>
    <t>Катъий белгиланган солик</t>
  </si>
  <si>
    <t>Катор-</t>
  </si>
  <si>
    <t>Харажатларнинг</t>
  </si>
  <si>
    <t>Хом-ашё бахосининг режавий меъёрларга мос келмаганлиги натижалари</t>
  </si>
  <si>
    <t>ОММ</t>
  </si>
  <si>
    <t>волокна тонн.</t>
  </si>
  <si>
    <t>Гл. бухгалтер</t>
  </si>
  <si>
    <t>буйича</t>
  </si>
  <si>
    <t>ЖАМИ</t>
  </si>
  <si>
    <t>Нетканка</t>
  </si>
  <si>
    <t>Сотиб олинган хусусий акциялар (8600)</t>
  </si>
  <si>
    <t>микдори</t>
  </si>
  <si>
    <t>ишлаб</t>
  </si>
  <si>
    <t>пул</t>
  </si>
  <si>
    <t>хакикий</t>
  </si>
  <si>
    <t>Техник чигитдан уругликга утказилди</t>
  </si>
  <si>
    <t>Кирим жами</t>
  </si>
  <si>
    <t>булган даврда пахтанинг калта момиги  аралашган чикиндилар харакатининг</t>
  </si>
  <si>
    <t>ЖАМИ КИРИМ</t>
  </si>
  <si>
    <t xml:space="preserve">          III сорт</t>
  </si>
  <si>
    <t>Тонна</t>
  </si>
  <si>
    <t>завод омборидаги колдик</t>
  </si>
  <si>
    <t>Пахтани кайта ишлаш харажатла-</t>
  </si>
  <si>
    <t>0 8</t>
  </si>
  <si>
    <t>Ер отси бойликларидан фойдаланганлик учун солик</t>
  </si>
  <si>
    <t xml:space="preserve">Жами уруглик чигит </t>
  </si>
  <si>
    <t>омбордаги колдик</t>
  </si>
  <si>
    <t>Уруглик чигитга ишлов бериш цехидан чикарилган -                   экишга мужалланган чигит кабул килинди -</t>
  </si>
  <si>
    <t>Бошка кирим</t>
  </si>
  <si>
    <t xml:space="preserve">йилги </t>
  </si>
  <si>
    <t>Хисобот</t>
  </si>
  <si>
    <t>Режа</t>
  </si>
  <si>
    <t>Утган</t>
  </si>
  <si>
    <t>Хакикий</t>
  </si>
  <si>
    <t>Бепул иссик овкат</t>
  </si>
  <si>
    <t>4с</t>
  </si>
  <si>
    <t>5с</t>
  </si>
  <si>
    <t>тариф и прочи</t>
  </si>
  <si>
    <t>Юридик шахслардан олинадиган даромад (фойда)</t>
  </si>
  <si>
    <t>Шу жумладан жамгариб бориладиган пенсияга ажратма</t>
  </si>
  <si>
    <t>Ободонлаштириш ва ижтимоий инфратузилмани</t>
  </si>
  <si>
    <t>3 тасниф</t>
  </si>
  <si>
    <t>Волокно 1с</t>
  </si>
  <si>
    <t>ф. ассарт</t>
  </si>
  <si>
    <t>Биолаборатория</t>
  </si>
  <si>
    <t>ПАХТА НАВЛАРИ УЧУН</t>
  </si>
  <si>
    <t>012</t>
  </si>
  <si>
    <t>лар буйича сотиш бахоси</t>
  </si>
  <si>
    <t>Эксперемент хужаликларга  жунатилди</t>
  </si>
  <si>
    <t>Экувчиларга жунатилди</t>
  </si>
  <si>
    <t>Уругликдан техник чигитга утказилди</t>
  </si>
  <si>
    <t>Табиий камайишлар хисобидан чикарилди</t>
  </si>
  <si>
    <t>Ягона ижтимоий тулов 25 %</t>
  </si>
  <si>
    <t>Куритиш тозалаш</t>
  </si>
  <si>
    <t>продукции</t>
  </si>
  <si>
    <t>Махсулот олувчиларга юкланди</t>
  </si>
  <si>
    <t>130</t>
  </si>
  <si>
    <t xml:space="preserve">Бошка кирим </t>
  </si>
  <si>
    <t>Ортикча</t>
  </si>
  <si>
    <t>Б А Л А Н С И</t>
  </si>
  <si>
    <t>Номи</t>
  </si>
  <si>
    <t xml:space="preserve">                    Нестанда</t>
  </si>
  <si>
    <t>Маъмурий харажатлар</t>
  </si>
  <si>
    <t>деятельности</t>
  </si>
  <si>
    <t xml:space="preserve">                    II сорт</t>
  </si>
  <si>
    <t>Эксперемент хужаликларидан олинди</t>
  </si>
  <si>
    <t>Шу жумладан навлар ва таснифлар буйича:</t>
  </si>
  <si>
    <t>Кайта ишланган пахта __________________</t>
  </si>
  <si>
    <t xml:space="preserve">                                          </t>
  </si>
  <si>
    <t xml:space="preserve">Сотилгани учун пул туланди </t>
  </si>
  <si>
    <t>в действ. ценах т.с</t>
  </si>
  <si>
    <t>товарной продукции т.с</t>
  </si>
  <si>
    <t>рининг жами (05+06+07+08)</t>
  </si>
  <si>
    <t>Саноат нави ___ЖАМИ_____ Вазни ____________</t>
  </si>
  <si>
    <t>харажат</t>
  </si>
  <si>
    <t>Наименование</t>
  </si>
  <si>
    <t>Саноат нави ___1_____ Вазни ____________</t>
  </si>
  <si>
    <t>Корхона  директори</t>
  </si>
  <si>
    <t>В. Толали чигитлар</t>
  </si>
  <si>
    <t>Фойда(+)</t>
  </si>
  <si>
    <t>Зарар(-)</t>
  </si>
  <si>
    <t>Чиким жами</t>
  </si>
  <si>
    <t>кийм</t>
  </si>
  <si>
    <t>Барча харажат (м. сум)</t>
  </si>
  <si>
    <t>"Митан пахта тозалаш" АЖ буйича</t>
  </si>
  <si>
    <t xml:space="preserve">                    IV сорт</t>
  </si>
  <si>
    <t>Уругликдан техник чигитга уткааилди</t>
  </si>
  <si>
    <t>ХАММАСИ</t>
  </si>
  <si>
    <t>Тола хаммаси    I сорт</t>
  </si>
  <si>
    <t>Линт экспорт</t>
  </si>
  <si>
    <t>Линт жами</t>
  </si>
  <si>
    <t>2с</t>
  </si>
  <si>
    <t>3с</t>
  </si>
  <si>
    <t>бюджет тулов-ни кечикт-к учун молявий жазолар</t>
  </si>
  <si>
    <t>ривожлантириш солиги</t>
  </si>
  <si>
    <t>Всего в том числе на складе</t>
  </si>
  <si>
    <t>прибыль</t>
  </si>
  <si>
    <t>Главный бухгалтер</t>
  </si>
  <si>
    <t>для заполнения отчета о затратах по производство продукции</t>
  </si>
  <si>
    <t>ПАХТА ТОЛАСИНИНГ</t>
  </si>
  <si>
    <t>энергии тыс.кВт.</t>
  </si>
  <si>
    <t>сушк и очист х/сырц</t>
  </si>
  <si>
    <t>отдача</t>
  </si>
  <si>
    <t>ствен средст</t>
  </si>
  <si>
    <t>собствен</t>
  </si>
  <si>
    <t>или излишка</t>
  </si>
  <si>
    <t>хлопка</t>
  </si>
  <si>
    <t>готовой</t>
  </si>
  <si>
    <t xml:space="preserve">счёт и </t>
  </si>
  <si>
    <t>торские</t>
  </si>
  <si>
    <t>хлопзаводов</t>
  </si>
  <si>
    <t>волокна</t>
  </si>
  <si>
    <t>сырца</t>
  </si>
  <si>
    <t>по</t>
  </si>
  <si>
    <t>продук</t>
  </si>
  <si>
    <t>сум тов.прод</t>
  </si>
  <si>
    <t>произв</t>
  </si>
  <si>
    <t>совой дея</t>
  </si>
  <si>
    <t>товарн</t>
  </si>
  <si>
    <t>сум товар</t>
  </si>
  <si>
    <t>расходы</t>
  </si>
  <si>
    <t xml:space="preserve">в.т.ч. на </t>
  </si>
  <si>
    <t>релизации</t>
  </si>
  <si>
    <t>прибыл</t>
  </si>
  <si>
    <t>юшаяся в рас-</t>
  </si>
  <si>
    <t>По балан-</t>
  </si>
  <si>
    <t>По чист</t>
  </si>
  <si>
    <t>По полны</t>
  </si>
  <si>
    <t xml:space="preserve">В.т.ч </t>
  </si>
  <si>
    <t>по балансу</t>
  </si>
  <si>
    <t>средства</t>
  </si>
  <si>
    <t>сырца на</t>
  </si>
  <si>
    <t>продукц</t>
  </si>
  <si>
    <t>другие</t>
  </si>
  <si>
    <t>задол-</t>
  </si>
  <si>
    <t>всего</t>
  </si>
  <si>
    <t>норме</t>
  </si>
  <si>
    <t>%</t>
  </si>
  <si>
    <t>ции</t>
  </si>
  <si>
    <t>товар прод</t>
  </si>
  <si>
    <t>тийин.</t>
  </si>
  <si>
    <t>%%</t>
  </si>
  <si>
    <t>телности</t>
  </si>
  <si>
    <t>переработку</t>
  </si>
  <si>
    <t>проряжен пред</t>
  </si>
  <si>
    <t>сов. прыб</t>
  </si>
  <si>
    <t>себест</t>
  </si>
  <si>
    <t>на 1 тон</t>
  </si>
  <si>
    <t>т.сум</t>
  </si>
  <si>
    <t>480+490-130</t>
  </si>
  <si>
    <t>складе</t>
  </si>
  <si>
    <t>на складе</t>
  </si>
  <si>
    <t>женност</t>
  </si>
  <si>
    <t>Глав бухгалтер</t>
  </si>
  <si>
    <t>мос келмаганлиги сабабли</t>
  </si>
  <si>
    <t>Чикиши ва сифати меъёрга</t>
  </si>
  <si>
    <t>чикиши буйича</t>
  </si>
  <si>
    <t>Пахта толаси</t>
  </si>
  <si>
    <t>1-сорт</t>
  </si>
  <si>
    <t>2-сорт</t>
  </si>
  <si>
    <t>3-сорт</t>
  </si>
  <si>
    <t>4-сорт</t>
  </si>
  <si>
    <t>5-сорт</t>
  </si>
  <si>
    <t>Саноат нави ____5____ Вазни ____________</t>
  </si>
  <si>
    <t>Бошка чикимлар</t>
  </si>
  <si>
    <t>Камомад</t>
  </si>
  <si>
    <t>Бош бухгалтер</t>
  </si>
  <si>
    <t>Производственная себестоимость</t>
  </si>
  <si>
    <t>Перейскурантдаги улгуржи нарх-</t>
  </si>
  <si>
    <t>0 10</t>
  </si>
  <si>
    <t>жами (04+09</t>
  </si>
  <si>
    <t>Завод омборидаги колдик</t>
  </si>
  <si>
    <t>Микд</t>
  </si>
  <si>
    <t>Кийм</t>
  </si>
  <si>
    <t>м. сум</t>
  </si>
  <si>
    <t>СВОД</t>
  </si>
  <si>
    <t>Бош хисобчи:</t>
  </si>
  <si>
    <t>____________________</t>
  </si>
  <si>
    <t>Режа булими бошлиги</t>
  </si>
  <si>
    <t>харажатлари (сч 25)</t>
  </si>
  <si>
    <t>Умумий ишлаб чикариш</t>
  </si>
  <si>
    <t>0 7</t>
  </si>
  <si>
    <t>сугуртага ажратмалар</t>
  </si>
  <si>
    <t>Ижтимоий ва табиий</t>
  </si>
  <si>
    <t>КОРХОНА РАХБАРИ:</t>
  </si>
  <si>
    <t xml:space="preserve">          IV сорт</t>
  </si>
  <si>
    <t>0 6</t>
  </si>
  <si>
    <t>1 т харажати (сум ва тийин)</t>
  </si>
  <si>
    <t>090</t>
  </si>
  <si>
    <t>100</t>
  </si>
  <si>
    <t>МАЪЛУМОТ</t>
  </si>
  <si>
    <t>продукции по</t>
  </si>
  <si>
    <t>побочная продук</t>
  </si>
  <si>
    <t>Бошка соликлар</t>
  </si>
  <si>
    <t>0 11</t>
  </si>
  <si>
    <t>фактическая</t>
  </si>
  <si>
    <t>по оптовым ценам</t>
  </si>
  <si>
    <t>Ег-мой комбинатларига жунатилди</t>
  </si>
  <si>
    <t>Форма 25 АПК</t>
  </si>
  <si>
    <t>ШАКЛ  № 73- ХЛ</t>
  </si>
  <si>
    <t>ОРТИКЧА САРФ</t>
  </si>
  <si>
    <t>товарной продукци</t>
  </si>
  <si>
    <t>план</t>
  </si>
  <si>
    <t>и убытки</t>
  </si>
  <si>
    <t>БАЛАНС</t>
  </si>
  <si>
    <t>Бюджет ташк пенсия жамгар.га мажб тулов 4,5%</t>
  </si>
  <si>
    <t>Корхона рахбари:</t>
  </si>
  <si>
    <t>Саклашда белгиланган меъер чегарада табиий камайиш</t>
  </si>
  <si>
    <t>Отпускная стоимость</t>
  </si>
  <si>
    <t>Жунатилган уруглик чигит пули туланди</t>
  </si>
  <si>
    <t>Сув ресурсларидан фойдаланганлик учун солик</t>
  </si>
  <si>
    <t>Махаллий бюджетга йигимлар</t>
  </si>
  <si>
    <t>Иккиламчи махсулот бахоси</t>
  </si>
  <si>
    <t>Линт ижобий фарк</t>
  </si>
  <si>
    <t>Линт ички</t>
  </si>
  <si>
    <t>Т/р</t>
  </si>
  <si>
    <t>Махсулот номи</t>
  </si>
  <si>
    <t>Улчов бирлиги</t>
  </si>
  <si>
    <t>Сотилган махсул микдори</t>
  </si>
  <si>
    <t>Сотилган махсулот (иш ва хиз матларнинг ишлаб чикариш таннархи</t>
  </si>
  <si>
    <t>Сотишдан олинган соф тушум</t>
  </si>
  <si>
    <t>Сотишдан тушган ялпи молиявий натижа минг сум</t>
  </si>
  <si>
    <t>Махсулот (иш хизмат) сотишдан тушган тушум</t>
  </si>
  <si>
    <t>ФАБРИКА ЗАВОД ВА ТУЛИК ТАННАРХИ</t>
  </si>
  <si>
    <t>Жами</t>
  </si>
  <si>
    <t>товар. продукции (тийин)</t>
  </si>
  <si>
    <t>сортам</t>
  </si>
  <si>
    <t>Пахтадан йигир ип</t>
  </si>
  <si>
    <t>Фоизлар шаклидаги даромадлар</t>
  </si>
  <si>
    <t>Товарная продукция</t>
  </si>
  <si>
    <t>жунатилган товар</t>
  </si>
  <si>
    <t>булган даврда пахта момиги харакатининг</t>
  </si>
  <si>
    <t>булган даврда улик аралашган чикиндилар харакатининг</t>
  </si>
  <si>
    <t>чикарилмагани</t>
  </si>
  <si>
    <t>Ишлаб-чикаришдан олинди</t>
  </si>
  <si>
    <t>ЖАМИ колдик</t>
  </si>
  <si>
    <t>Импорт буйича бож тулови</t>
  </si>
  <si>
    <t>иш хаклари</t>
  </si>
  <si>
    <t>ишчиларининг асосий ва кушимча</t>
  </si>
  <si>
    <t>Асосий ишлаб чикариш цехлари</t>
  </si>
  <si>
    <t>микд</t>
  </si>
  <si>
    <t>Митан</t>
  </si>
  <si>
    <t>меъёрла</t>
  </si>
  <si>
    <t>техник чигит харакатининг</t>
  </si>
  <si>
    <t>(пахта заводи, бирлашманинг номи)</t>
  </si>
  <si>
    <t>чик.ган</t>
  </si>
  <si>
    <t xml:space="preserve"> </t>
  </si>
  <si>
    <t>Всего</t>
  </si>
  <si>
    <t>Рахбар</t>
  </si>
  <si>
    <t>ОСНАВНЫЕ ТЕХНИКО-ЭКОНОМИЧЕСИЕ ПОКАЗАТЕЛИ РАБОТЫ ПРЕДПРИЯТИЕ  "МИТАН ПАХТА ЗАВОДИ" АЖ.</t>
  </si>
  <si>
    <t>газ м3</t>
  </si>
  <si>
    <t>Выработ</t>
  </si>
  <si>
    <t>Перераб</t>
  </si>
  <si>
    <t>% выхода волокна</t>
  </si>
  <si>
    <t>Угары производства</t>
  </si>
  <si>
    <t>Стоимост</t>
  </si>
  <si>
    <t>производ</t>
  </si>
  <si>
    <t>Производст</t>
  </si>
  <si>
    <t>Рентаб-</t>
  </si>
  <si>
    <t>Расход</t>
  </si>
  <si>
    <t>Расходы</t>
  </si>
  <si>
    <t>Полная</t>
  </si>
  <si>
    <t>Всего зат-</t>
  </si>
  <si>
    <t>Рентабелн</t>
  </si>
  <si>
    <t>Затрат на производст</t>
  </si>
  <si>
    <t>Чистая вы</t>
  </si>
  <si>
    <t>Баланс-</t>
  </si>
  <si>
    <t>Чистая</t>
  </si>
  <si>
    <t>Тола экспорт I сорт</t>
  </si>
  <si>
    <t>Отклонение от фак-</t>
  </si>
  <si>
    <t>Услуги по выработк</t>
  </si>
  <si>
    <t>Расходов периода</t>
  </si>
  <si>
    <t>Расходы финансово</t>
  </si>
  <si>
    <t>Черезве</t>
  </si>
  <si>
    <t>Полная с/с-ть</t>
  </si>
  <si>
    <t xml:space="preserve">Р А С Ш И Ф Р О В К А </t>
  </si>
  <si>
    <t xml:space="preserve">отклонений фактических затрат от </t>
  </si>
  <si>
    <t>Сумма откланений</t>
  </si>
  <si>
    <t>Эконом</t>
  </si>
  <si>
    <t>Перер</t>
  </si>
  <si>
    <t>тыс сум</t>
  </si>
  <si>
    <t>Сыре Всего</t>
  </si>
  <si>
    <t>в.т.ч. за счет откланения от</t>
  </si>
  <si>
    <t>плановых норм</t>
  </si>
  <si>
    <t>Из них:</t>
  </si>
  <si>
    <t>а) по составу х/сырца в пром</t>
  </si>
  <si>
    <t>сортах волокна (переходы)</t>
  </si>
  <si>
    <t>б) по выходам волокна</t>
  </si>
  <si>
    <t>Пилла сотиш</t>
  </si>
  <si>
    <t xml:space="preserve">          II сорт</t>
  </si>
  <si>
    <t>м.сум</t>
  </si>
  <si>
    <t>ХРСУ</t>
  </si>
  <si>
    <t>Бош  хисобчи</t>
  </si>
  <si>
    <t>Хакикатда туланди</t>
  </si>
  <si>
    <t>Жами бюджет туловлари суммаси (280дан 480 гача,</t>
  </si>
  <si>
    <t>291 сатрдан ташкари</t>
  </si>
  <si>
    <t>Фоизлар шаклидаги харажатлар</t>
  </si>
  <si>
    <t>ри буйича</t>
  </si>
  <si>
    <t>нархда</t>
  </si>
  <si>
    <t>йил</t>
  </si>
  <si>
    <t>АТП</t>
  </si>
  <si>
    <t>МТТБ</t>
  </si>
  <si>
    <t xml:space="preserve">Утган </t>
  </si>
  <si>
    <t>лар</t>
  </si>
  <si>
    <t xml:space="preserve">Итого </t>
  </si>
  <si>
    <t>1. ХОМ - АШЁ</t>
  </si>
  <si>
    <t>СТИР</t>
  </si>
  <si>
    <t>Инвентар</t>
  </si>
  <si>
    <t xml:space="preserve">Жами техник чигит </t>
  </si>
  <si>
    <t>Уруглик чигит</t>
  </si>
  <si>
    <t>Улюк</t>
  </si>
  <si>
    <t>Пух</t>
  </si>
  <si>
    <t>ОММ хизмати</t>
  </si>
  <si>
    <t>_____________________</t>
  </si>
  <si>
    <t>Вспомогательный расчет № 1а</t>
  </si>
  <si>
    <t>Ишлаб чикариш таннархининг</t>
  </si>
  <si>
    <t>0 9</t>
  </si>
  <si>
    <t>хлопко  заводов</t>
  </si>
  <si>
    <t xml:space="preserve"> тыс .сус</t>
  </si>
  <si>
    <t>Уругликдан чикинди</t>
  </si>
  <si>
    <t>040</t>
  </si>
  <si>
    <t>050</t>
  </si>
  <si>
    <t>060</t>
  </si>
  <si>
    <t>070</t>
  </si>
  <si>
    <t>чайная</t>
  </si>
  <si>
    <t>Тола ички    I сорт</t>
  </si>
  <si>
    <t>ТАРИФ</t>
  </si>
  <si>
    <t>Итого побоч прод</t>
  </si>
  <si>
    <t>Камомад чигит</t>
  </si>
  <si>
    <t>Терминалда сакланаётган тола</t>
  </si>
  <si>
    <t>ЖАМИ ХАРАЖАТ</t>
  </si>
  <si>
    <t>ш.ж Музлат. Карз</t>
  </si>
  <si>
    <t>тонн</t>
  </si>
  <si>
    <t>1 тасниф</t>
  </si>
  <si>
    <t>V</t>
  </si>
  <si>
    <t>IV</t>
  </si>
  <si>
    <t>III</t>
  </si>
  <si>
    <t>II</t>
  </si>
  <si>
    <t>I</t>
  </si>
  <si>
    <t>Жами бошкалар</t>
  </si>
  <si>
    <t>КТЦ куйнди</t>
  </si>
  <si>
    <t>Кайта ишлан-ган пахта.</t>
  </si>
  <si>
    <t>Тола</t>
  </si>
  <si>
    <t>Чигит</t>
  </si>
  <si>
    <t>Момик</t>
  </si>
  <si>
    <t>Улюк чикинди</t>
  </si>
  <si>
    <t>Пух  чикинди</t>
  </si>
  <si>
    <t>И/ч  куюндиси</t>
  </si>
  <si>
    <t>Хакикат</t>
  </si>
  <si>
    <t>тн</t>
  </si>
  <si>
    <t>1/1</t>
  </si>
  <si>
    <t>1/2</t>
  </si>
  <si>
    <t>2/1</t>
  </si>
  <si>
    <t>Жамият бош директори:</t>
  </si>
  <si>
    <t>Молия масалалар бўйича директор:</t>
  </si>
  <si>
    <t>Режа ва иктисод булим бошлиги:</t>
  </si>
  <si>
    <t>Молиявий натижалар тўгрисида хисобот - 2-сонли шакл</t>
  </si>
  <si>
    <t xml:space="preserve">Коды </t>
  </si>
  <si>
    <t>БхУТ бўйича 1-шакл</t>
  </si>
  <si>
    <t>Корхона, ташкилот</t>
  </si>
  <si>
    <t>"MITAN PAXTA TOZALASH" А.Ж.</t>
  </si>
  <si>
    <t>КТУТ бўйича</t>
  </si>
  <si>
    <t>00331518</t>
  </si>
  <si>
    <t>Тармоқ</t>
  </si>
  <si>
    <t>ХХТУТ бўйича</t>
  </si>
  <si>
    <t>17111</t>
  </si>
  <si>
    <t>Ташкилий-ҳуқуқий шакли</t>
  </si>
  <si>
    <t>ТхШТ бўйича</t>
  </si>
  <si>
    <t>1153</t>
  </si>
  <si>
    <t>Мулкчилик шакли</t>
  </si>
  <si>
    <t>Жамоавий</t>
  </si>
  <si>
    <t>МШТ бўйича</t>
  </si>
  <si>
    <t>144</t>
  </si>
  <si>
    <t>Вазирлик, идора ва бошқалар</t>
  </si>
  <si>
    <t>"O`ZPAXTASANOAT" AJ</t>
  </si>
  <si>
    <t>ДБИБТ бўйича</t>
  </si>
  <si>
    <t>08394</t>
  </si>
  <si>
    <t>Солиқ тўловчининг идентификацион рақами</t>
  </si>
  <si>
    <t>200741734</t>
  </si>
  <si>
    <t>Ҳудуд</t>
  </si>
  <si>
    <t>САМАРҚАНД ВИЛОЯТИ ИШТИХОН тумани</t>
  </si>
  <si>
    <t>МхОБТ</t>
  </si>
  <si>
    <t>1718212555</t>
  </si>
  <si>
    <t>Манзил</t>
  </si>
  <si>
    <t>НАЪМУНА МФЙ А.ТЕМУР КУЧАСИ, 11-УЙ.</t>
  </si>
  <si>
    <t>Жўнатилган сана</t>
  </si>
  <si>
    <t>қабул қилинган сана</t>
  </si>
  <si>
    <t>Такдим қилиш муддати</t>
  </si>
  <si>
    <t>Кўрсаткичлар номи</t>
  </si>
  <si>
    <t>Сатр коди</t>
  </si>
  <si>
    <t>Ўтган йилнинг шу даврида</t>
  </si>
  <si>
    <t>Ҳисобот даврида</t>
  </si>
  <si>
    <t>Даромадлар
(фойда)</t>
  </si>
  <si>
    <t>Харажатлар
(зарарлар)</t>
  </si>
  <si>
    <t>Маҳсулот (товар, иш ва хизмат) ларни сотишдан соф тушум</t>
  </si>
  <si>
    <t>Сотилган маҳсулот (товар, иш ва хизмат) ларнинг таннархи</t>
  </si>
  <si>
    <t>Маҳсулот (товар, иш ва хизмат) ларни сотишнинг ялпи фойдаси (зарари) (сатр.010-020)</t>
  </si>
  <si>
    <t>Давр харажатлари, жами (сатр.050+060+070+080),шу жумладан:</t>
  </si>
  <si>
    <t xml:space="preserve">Сотиш харажатлари </t>
  </si>
  <si>
    <t xml:space="preserve">Бошқа операцион харажатлар </t>
  </si>
  <si>
    <t>Ҳисобот даврининг солиқ солинадиган фойдадан келгусида чегириладиган харажатлари</t>
  </si>
  <si>
    <t>Асосий фаолиятнинг бошқа даромадлари</t>
  </si>
  <si>
    <t>Асосий фаолиятнинг фойдаси (зарари) (сатр. 030-040+090)</t>
  </si>
  <si>
    <t>Молиявий фаолиятнинг даромадлари, жами (сатр.120+130+140+150+160), шу жумладан:</t>
  </si>
  <si>
    <t xml:space="preserve">Дивидендлар шаклидаги даромадлар </t>
  </si>
  <si>
    <t>Молиявий ижарадан даромадлар</t>
  </si>
  <si>
    <t>Валюта курси фарқидан даромадлар</t>
  </si>
  <si>
    <t>Молиявий фаолиятнинг бошқа даромадлари</t>
  </si>
  <si>
    <t>Молиявий фаолият бўйича харажатлар (сатр.180+190+200+210), шу жумладан:</t>
  </si>
  <si>
    <t>Молиявий ижара бўйича фоизлар шаклидаги харажатлар</t>
  </si>
  <si>
    <t>Валюта курси фарқидан зарарлар</t>
  </si>
  <si>
    <t>Молиявий фаолият бўйича бошқа харажатлар</t>
  </si>
  <si>
    <t>Умумхўжалик фаолиятининг фойдаси (зарари) (сатр.100+110-170)</t>
  </si>
  <si>
    <t>Фавқулоддаги фойда ва зарарлар</t>
  </si>
  <si>
    <t>Фойда солиғини тўлагунга қадар фойда (зарар) (сатр.220+/-230)</t>
  </si>
  <si>
    <t>Фойда солиғи</t>
  </si>
  <si>
    <t>Фойдадан бошқа солиқлар ва бошқа мажбурий тўловлар</t>
  </si>
  <si>
    <t>Ҳисобот даврининг соф фойдаси (зарари) (сатр.240-250-260)</t>
  </si>
  <si>
    <t>БЮДЖЕТГА ТЎЛОВЛАР ТЎҒРИСИДА МАЪЛУМОТ</t>
  </si>
  <si>
    <t>Ҳисобот даври учун ҳисоб-китоб бўйича тўланади</t>
  </si>
  <si>
    <t>Ҳисобот даври учун ҳисоб-китоб бўйича ҳисоблангандан ҳақиқатда тўлангани</t>
  </si>
  <si>
    <t>Юридик шахслардан олинадиган фойда солиғи</t>
  </si>
  <si>
    <t>280</t>
  </si>
  <si>
    <t>Жисмоний шахслардан олинадиган даромад солиғи</t>
  </si>
  <si>
    <t>шу жумладан:шахсий жамғариб бориладиган пенсия ҳисобварақларига ажратмалар</t>
  </si>
  <si>
    <t>291</t>
  </si>
  <si>
    <t>Ободонлаштириш ва ижтимоий инфратузилмани ривожлантириш солиғи</t>
  </si>
  <si>
    <t>300</t>
  </si>
  <si>
    <t>Қўшилган қиймат солиғи</t>
  </si>
  <si>
    <t>310</t>
  </si>
  <si>
    <t>Акциз солиғи</t>
  </si>
  <si>
    <t>320</t>
  </si>
  <si>
    <t>Ер ости бойликларидан фойдаланганлик учун солиқ</t>
  </si>
  <si>
    <t>330</t>
  </si>
  <si>
    <t>Сув ресурсларидан фойдаланганлик учун солиқ</t>
  </si>
  <si>
    <t>340</t>
  </si>
  <si>
    <t>Юридик шахсларнинг мол-мулкига солинадиган солиқ</t>
  </si>
  <si>
    <t>350</t>
  </si>
  <si>
    <t>Юридик шахслардан олинадиган ер солиғи</t>
  </si>
  <si>
    <t>360</t>
  </si>
  <si>
    <t>370</t>
  </si>
  <si>
    <t>Ягона ер солиғи</t>
  </si>
  <si>
    <t>380</t>
  </si>
  <si>
    <t>Қатъий белгиланган солиқ</t>
  </si>
  <si>
    <t>390</t>
  </si>
  <si>
    <t>Бошқа солиқлар</t>
  </si>
  <si>
    <t>400</t>
  </si>
  <si>
    <t>Республика йўл жамғармасига мажбурий ажратмалар</t>
  </si>
  <si>
    <t>410</t>
  </si>
  <si>
    <t>420</t>
  </si>
  <si>
    <t>Бюджетдан ташқари Умумтаълим мактаблари, касб-ҳунар коллежлари, академик лицейлар ва тиббиёт муассасаларини реконструкция қилиш, мукаммал таъмирлаш ва жиҳозлаш жамғармасига мажбурий ажратмалар</t>
  </si>
  <si>
    <t>430</t>
  </si>
  <si>
    <t xml:space="preserve">Ягона ижтимоий тўлов ва фуқароларнинг бюджетдан ташқари Пенсия жамғармасига
суғурта бадаллари </t>
  </si>
  <si>
    <t>440</t>
  </si>
  <si>
    <t>Импорт бўйича божхона божи</t>
  </si>
  <si>
    <t>450</t>
  </si>
  <si>
    <t>Маҳаллий бюджетга йиғимлар</t>
  </si>
  <si>
    <t>460</t>
  </si>
  <si>
    <t>470</t>
  </si>
  <si>
    <t>Жами бюджетга тўловлар суммаси (280 дан 470 сатргача 291 сатрдан ташқари)</t>
  </si>
  <si>
    <t>480</t>
  </si>
  <si>
    <t>Актив</t>
  </si>
  <si>
    <t>I. Узоқ муддатли активлар</t>
  </si>
  <si>
    <t>Асосий воситалар:</t>
  </si>
  <si>
    <t>Бошланғич (қайта тиклаш) қиймати (0100, 0300)</t>
  </si>
  <si>
    <t>Эскириш суммаси (0200)</t>
  </si>
  <si>
    <t>қолдиқ (баланс) қиймати (сатр. 010 - 011)</t>
  </si>
  <si>
    <t>Номоддий активлар:</t>
  </si>
  <si>
    <t>Бошланғич қиймати (0400)</t>
  </si>
  <si>
    <t>Амортизация суммаси (0500)</t>
  </si>
  <si>
    <t>қолдиқ (баланс) қиймати (сатр. 020 - 021)</t>
  </si>
  <si>
    <t>Узоқ муддатли инвестициялар, жами (сатр.040+050+060+070+080)</t>
  </si>
  <si>
    <t>Қимматли қоғозлар (0610)</t>
  </si>
  <si>
    <t>Шўъба хўжалик жамиятларига инвестициялар (0620)</t>
  </si>
  <si>
    <t>қарам хўжалик жамиятларига инвестициялар (0630)</t>
  </si>
  <si>
    <t>Чет эл капитали мавжуд бўлган корхоналарга инвестициялар (0640)</t>
  </si>
  <si>
    <t>Бошқа узоқ муддатли инвестициялар (0690)</t>
  </si>
  <si>
    <t>Ўрнатиладиган асбоб-ускуналар (0700)</t>
  </si>
  <si>
    <t>Капитал қўйилмалар (0800)</t>
  </si>
  <si>
    <t>Узоқ муддатли дебиторлик қарзлари (0910,0920,0930,0940)</t>
  </si>
  <si>
    <t>Долгосрочные отсроченные расходы (0950, 0960, 0990)</t>
  </si>
  <si>
    <t>I бўлим бўйича жами (сатр.012+022+030+090+100+110+120)</t>
  </si>
  <si>
    <t>II. Жорий активлар</t>
  </si>
  <si>
    <t>Товар-моддий захиралари, жами (сатр.150+160+170+180)</t>
  </si>
  <si>
    <t>Ишлаб чиқариш захиралари (1000, 1100, 1500, 1600)</t>
  </si>
  <si>
    <t>Тугалланмаган ишлаб чиқариш (2000, 2100, 2300, 2700)</t>
  </si>
  <si>
    <t>Тайёр маҳсулот (2800)</t>
  </si>
  <si>
    <t>Товарлар (2900 дан 2980 нинг айирмаси)</t>
  </si>
  <si>
    <t>Келгуси давр харажатлари (3100)</t>
  </si>
  <si>
    <t>Кечиктирилган харажатлар (3200)</t>
  </si>
  <si>
    <t>Дебиторлар, жами (сатр. 220+240+250+260+270+280+290+300+310)</t>
  </si>
  <si>
    <t>шундан: муддати ўтган*</t>
  </si>
  <si>
    <t>211</t>
  </si>
  <si>
    <t>Харидор ва буюртмачиларнинг қарзи (4000 дан 4900 нинг айирмаси)</t>
  </si>
  <si>
    <t>Ажратилган бўлинмаларнинг қарзи (4110)</t>
  </si>
  <si>
    <t>Шўъба ва қарам хўжалик жамиятларнинг қарзи (4120)</t>
  </si>
  <si>
    <t>Ходимларга берилган бўнаклар (4200)</t>
  </si>
  <si>
    <t>Мол етказиб берувчилар ва пудратчиларга берилган бўнаклар (4300)</t>
  </si>
  <si>
    <t>Бюджетга солиқлар ва бошқа мажбурий тўловлар бўйича бўнак тўловлари (4400)</t>
  </si>
  <si>
    <t>Мақсадли давлат жамғармалари ва суғурталар бўйича бўнак тўловлари (4500)</t>
  </si>
  <si>
    <t>Таъсисчиларнинг устав капиталига улушлар бўйича қарзи (4600)</t>
  </si>
  <si>
    <t>Ходимларнинг бошқа операциялар бўйича қарзи (4700)</t>
  </si>
  <si>
    <t>Бошқа дебиторлик қарзлари (4800)</t>
  </si>
  <si>
    <t>Пул маблағлари, жами (сатр.330+340+350+360), шу жумладан:</t>
  </si>
  <si>
    <t>Кассадаги пул маблағлари (5000)</t>
  </si>
  <si>
    <t>Ҳисоб-китоб счётидаги пул маблағлари (5100)</t>
  </si>
  <si>
    <t>Чет эл валютасидаги пул маблағлари (5200)</t>
  </si>
  <si>
    <t>Бошқа пул маблағлари ва эквивалентлари (5500, 5600, 5700)</t>
  </si>
  <si>
    <t>қисқа муддатли инвестициялар (5800)</t>
  </si>
  <si>
    <t>Бошқа жорий активлар (5900)</t>
  </si>
  <si>
    <t>II бўлим бўйича жами (сатр. 140+190+200+210+320+370+380)</t>
  </si>
  <si>
    <t>Баланс активи бўйича жами (сатр.130+390)</t>
  </si>
  <si>
    <t>I. Ўз маблағлари манбалари</t>
  </si>
  <si>
    <t>Қўшилган капитал (8400)</t>
  </si>
  <si>
    <t>Тақсимланмаган фойда (қопланмаган зарар) (8700)</t>
  </si>
  <si>
    <t>Мақсадли тушумлар (8800)</t>
  </si>
  <si>
    <t>Келгуси давр харажатлари ва тўловлари учун захиралар (8900)</t>
  </si>
  <si>
    <t>I бўлим бўйича жами (сатр.410+420+430-440+450+460+470)</t>
  </si>
  <si>
    <t>II. Мажбуриятлар</t>
  </si>
  <si>
    <t>Узоқ муддатли мажбуриятлар, жами (сатр.500+520+530+540+550+560+570+580+590)</t>
  </si>
  <si>
    <t>шу жумладан: узоқ муддатли кредиторлик қарзлари (сатр.500+520+540+560+590)</t>
  </si>
  <si>
    <t>491</t>
  </si>
  <si>
    <t>Мол етказиб берувчилар ва пудратчиларга узоқ муддатли қарз (7000)</t>
  </si>
  <si>
    <t>500</t>
  </si>
  <si>
    <t>Ажратилган бўлинмаларга узоқ муддатли қарз (7110)</t>
  </si>
  <si>
    <t>510</t>
  </si>
  <si>
    <t>Шўъба ва қарам хўжалик жамиятларга узоқ муддатли қарз (7120)</t>
  </si>
  <si>
    <t>520</t>
  </si>
  <si>
    <t>Узоқ муддатли кечиктирилган даромадлар (7210, 7220, 7230)</t>
  </si>
  <si>
    <t>530</t>
  </si>
  <si>
    <t>Солиқ ва бошқа мажбурий тўловлар бўйича узоқ муддатли кечиктирилган мажбуриятлар (7240)</t>
  </si>
  <si>
    <t>540</t>
  </si>
  <si>
    <t>Бошқа узоқ муддатли кечиктирилган мажбуриятлар (7250, 7290)</t>
  </si>
  <si>
    <t>550</t>
  </si>
  <si>
    <t>Харидорлар ва буюртмачилардан олинган бўнаклар (7300)</t>
  </si>
  <si>
    <t>560</t>
  </si>
  <si>
    <r>
      <t xml:space="preserve">Ўлчов бирлиги, </t>
    </r>
    <r>
      <rPr>
        <b/>
        <u/>
        <sz val="13"/>
        <color theme="1"/>
        <rFont val="Arial"/>
        <family val="2"/>
        <charset val="204"/>
      </rPr>
      <t>минг сўм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</si>
</sst>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р_._-;\-* #,##0.00_р_._-;_-* &quot;-&quot;??_р_._-;_-@_-"/>
    <numFmt numFmtId="165" formatCode="#,##0.000"/>
    <numFmt numFmtId="166" formatCode="0.0"/>
    <numFmt numFmtId="167" formatCode="_-* #,##0_р_._-;\-* #,##0_р_._-;_-* &quot;-&quot;??_р_._-;_-@_-"/>
    <numFmt numFmtId="168" formatCode="#,##0.000000"/>
    <numFmt numFmtId="169" formatCode="#,##0.0"/>
    <numFmt numFmtId="170" formatCode="0.000"/>
    <numFmt numFmtId="171" formatCode="_-* #,##0.00[$€-1]_-;\-* #,##0.00[$€-1]_-;_-* &quot;-&quot;??[$€-1]_-"/>
    <numFmt numFmtId="172" formatCode="_-* #,##0\ _F_-;\-* #,##0\ _F_-;_-* &quot;-&quot;\ _F_-;_-@_-"/>
    <numFmt numFmtId="173" formatCode="_-* #,##0.00\ _F_-;\-* #,##0.00\ _F_-;_-* &quot;-&quot;??\ _F_-;_-@_-"/>
    <numFmt numFmtId="174" formatCode="#,##0.00_ ;[Red]\-#,##0.00\ "/>
  </numFmts>
  <fonts count="8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9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i/>
      <sz val="12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sz val="11"/>
      <color indexed="9"/>
      <name val="Arial Cyr"/>
      <charset val="204"/>
    </font>
    <font>
      <b/>
      <sz val="8"/>
      <name val="Arial"/>
      <family val="2"/>
      <charset val="204"/>
    </font>
    <font>
      <sz val="14"/>
      <color indexed="8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186"/>
    </font>
    <font>
      <sz val="11"/>
      <color indexed="8"/>
      <name val="Calibri"/>
      <family val="2"/>
    </font>
    <font>
      <sz val="8"/>
      <name val="Helvetica-Narrow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8"/>
      <color indexed="9"/>
      <name val="Arial"/>
      <family val="2"/>
      <charset val="204"/>
    </font>
    <font>
      <b/>
      <sz val="10"/>
      <color indexed="9"/>
      <name val="Arial Cyr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u/>
      <sz val="13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 Cyr"/>
      <charset val="204"/>
    </font>
    <font>
      <sz val="10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36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171" fontId="2" fillId="0" borderId="0" applyFont="0" applyFill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7" fillId="9" borderId="1" applyNumberFormat="0" applyAlignment="0" applyProtection="0"/>
    <xf numFmtId="0" fontId="17" fillId="9" borderId="1" applyNumberFormat="0" applyAlignment="0" applyProtection="0"/>
    <xf numFmtId="0" fontId="17" fillId="9" borderId="1" applyNumberFormat="0" applyAlignment="0" applyProtection="0"/>
    <xf numFmtId="0" fontId="17" fillId="9" borderId="1" applyNumberFormat="0" applyAlignment="0" applyProtection="0"/>
    <xf numFmtId="0" fontId="17" fillId="9" borderId="1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17" borderId="7" applyNumberFormat="0" applyAlignment="0" applyProtection="0"/>
    <xf numFmtId="0" fontId="22" fillId="17" borderId="7" applyNumberFormat="0" applyAlignment="0" applyProtection="0"/>
    <xf numFmtId="0" fontId="22" fillId="17" borderId="7" applyNumberFormat="0" applyAlignment="0" applyProtection="0"/>
    <xf numFmtId="0" fontId="22" fillId="17" borderId="7" applyNumberFormat="0" applyAlignment="0" applyProtection="0"/>
    <xf numFmtId="0" fontId="22" fillId="17" borderId="7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6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7" fillId="0" borderId="0"/>
    <xf numFmtId="0" fontId="54" fillId="0" borderId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2" fillId="5" borderId="8" applyNumberFormat="0" applyFont="0" applyAlignment="0" applyProtection="0"/>
    <xf numFmtId="0" fontId="2" fillId="5" borderId="8" applyNumberFormat="0" applyFont="0" applyAlignment="0" applyProtection="0"/>
    <xf numFmtId="0" fontId="2" fillId="5" borderId="8" applyNumberFormat="0" applyFont="0" applyAlignment="0" applyProtection="0"/>
    <xf numFmtId="0" fontId="2" fillId="5" borderId="8" applyNumberFormat="0" applyFont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52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2" fontId="56" fillId="0" borderId="0" applyFont="0" applyFill="0" applyBorder="0" applyAlignment="0" applyProtection="0"/>
    <xf numFmtId="173" fontId="5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</cellStyleXfs>
  <cellXfs count="446">
    <xf numFmtId="0" fontId="0" fillId="0" borderId="0" xfId="0"/>
    <xf numFmtId="0" fontId="3" fillId="0" borderId="10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11" xfId="0" applyBorder="1"/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0" xfId="0" applyFont="1"/>
    <xf numFmtId="0" fontId="0" fillId="0" borderId="17" xfId="0" applyBorder="1"/>
    <xf numFmtId="0" fontId="0" fillId="0" borderId="18" xfId="0" applyBorder="1"/>
    <xf numFmtId="0" fontId="0" fillId="0" borderId="10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0" xfId="0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17" xfId="0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0" fillId="0" borderId="14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11" fillId="0" borderId="0" xfId="0" applyFont="1" applyAlignment="1">
      <alignment horizontal="centerContinuous"/>
    </xf>
    <xf numFmtId="0" fontId="0" fillId="0" borderId="23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4" fillId="0" borderId="16" xfId="0" applyFont="1" applyBorder="1"/>
    <xf numFmtId="0" fontId="0" fillId="0" borderId="1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16" xfId="0" applyFont="1" applyBorder="1"/>
    <xf numFmtId="0" fontId="2" fillId="0" borderId="0" xfId="0" applyFont="1"/>
    <xf numFmtId="3" fontId="4" fillId="0" borderId="16" xfId="0" applyNumberFormat="1" applyFon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0" xfId="0" applyNumberFormat="1"/>
    <xf numFmtId="3" fontId="0" fillId="0" borderId="21" xfId="0" applyNumberFormat="1" applyBorder="1" applyAlignment="1">
      <alignment horizontal="center"/>
    </xf>
    <xf numFmtId="3" fontId="0" fillId="0" borderId="21" xfId="0" applyNumberFormat="1" applyBorder="1"/>
    <xf numFmtId="3" fontId="0" fillId="0" borderId="10" xfId="0" applyNumberFormat="1" applyBorder="1"/>
    <xf numFmtId="3" fontId="0" fillId="0" borderId="18" xfId="0" applyNumberFormat="1" applyBorder="1"/>
    <xf numFmtId="3" fontId="0" fillId="0" borderId="22" xfId="0" applyNumberFormat="1" applyBorder="1"/>
    <xf numFmtId="3" fontId="0" fillId="0" borderId="20" xfId="0" applyNumberFormat="1" applyBorder="1"/>
    <xf numFmtId="3" fontId="4" fillId="0" borderId="0" xfId="0" applyNumberFormat="1" applyFont="1"/>
    <xf numFmtId="3" fontId="0" fillId="0" borderId="17" xfId="0" applyNumberFormat="1" applyBorder="1"/>
    <xf numFmtId="3" fontId="0" fillId="0" borderId="19" xfId="0" applyNumberFormat="1" applyBorder="1"/>
    <xf numFmtId="3" fontId="4" fillId="0" borderId="16" xfId="0" applyNumberFormat="1" applyFont="1" applyBorder="1"/>
    <xf numFmtId="3" fontId="5" fillId="0" borderId="16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Continuous"/>
    </xf>
    <xf numFmtId="3" fontId="0" fillId="0" borderId="17" xfId="0" applyNumberFormat="1" applyBorder="1" applyAlignment="1">
      <alignment horizontal="centerContinuous"/>
    </xf>
    <xf numFmtId="3" fontId="0" fillId="0" borderId="23" xfId="0" applyNumberFormat="1" applyBorder="1" applyAlignment="1">
      <alignment horizontal="centerContinuous"/>
    </xf>
    <xf numFmtId="3" fontId="0" fillId="0" borderId="18" xfId="0" applyNumberFormat="1" applyBorder="1" applyAlignment="1">
      <alignment horizontal="centerContinuous"/>
    </xf>
    <xf numFmtId="3" fontId="0" fillId="0" borderId="19" xfId="0" applyNumberFormat="1" applyBorder="1" applyAlignment="1">
      <alignment horizontal="centerContinuous"/>
    </xf>
    <xf numFmtId="3" fontId="0" fillId="0" borderId="24" xfId="0" applyNumberFormat="1" applyBorder="1" applyAlignment="1">
      <alignment horizontal="centerContinuous"/>
    </xf>
    <xf numFmtId="3" fontId="0" fillId="0" borderId="20" xfId="0" applyNumberFormat="1" applyBorder="1" applyAlignment="1">
      <alignment horizontal="centerContinuous"/>
    </xf>
    <xf numFmtId="3" fontId="11" fillId="0" borderId="21" xfId="0" applyNumberFormat="1" applyFont="1" applyBorder="1" applyAlignment="1">
      <alignment horizontal="center"/>
    </xf>
    <xf numFmtId="3" fontId="32" fillId="0" borderId="21" xfId="0" applyNumberFormat="1" applyFont="1" applyBorder="1" applyAlignment="1">
      <alignment horizontal="center"/>
    </xf>
    <xf numFmtId="3" fontId="32" fillId="0" borderId="20" xfId="0" applyNumberFormat="1" applyFont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0" fontId="11" fillId="0" borderId="0" xfId="0" applyFont="1"/>
    <xf numFmtId="0" fontId="32" fillId="0" borderId="16" xfId="0" applyFont="1" applyBorder="1"/>
    <xf numFmtId="3" fontId="34" fillId="0" borderId="16" xfId="0" applyNumberFormat="1" applyFont="1" applyBorder="1" applyAlignment="1">
      <alignment horizontal="center"/>
    </xf>
    <xf numFmtId="3" fontId="2" fillId="0" borderId="0" xfId="0" applyNumberFormat="1" applyFont="1"/>
    <xf numFmtId="0" fontId="4" fillId="0" borderId="16" xfId="0" applyFont="1" applyBorder="1" applyAlignment="1">
      <alignment horizontal="left"/>
    </xf>
    <xf numFmtId="3" fontId="2" fillId="0" borderId="16" xfId="0" applyNumberFormat="1" applyFont="1" applyBorder="1"/>
    <xf numFmtId="2" fontId="2" fillId="0" borderId="16" xfId="0" applyNumberFormat="1" applyFont="1" applyBorder="1"/>
    <xf numFmtId="3" fontId="34" fillId="0" borderId="22" xfId="0" applyNumberFormat="1" applyFont="1" applyBorder="1" applyAlignment="1">
      <alignment horizontal="center"/>
    </xf>
    <xf numFmtId="2" fontId="2" fillId="0" borderId="0" xfId="0" applyNumberFormat="1" applyFont="1"/>
    <xf numFmtId="0" fontId="40" fillId="0" borderId="0" xfId="0" applyFont="1"/>
    <xf numFmtId="0" fontId="39" fillId="0" borderId="0" xfId="0" applyFont="1"/>
    <xf numFmtId="0" fontId="6" fillId="0" borderId="0" xfId="0" applyFont="1"/>
    <xf numFmtId="0" fontId="44" fillId="0" borderId="0" xfId="0" applyFont="1"/>
    <xf numFmtId="3" fontId="44" fillId="0" borderId="0" xfId="0" applyNumberFormat="1" applyFont="1"/>
    <xf numFmtId="0" fontId="37" fillId="0" borderId="0" xfId="0" applyFont="1"/>
    <xf numFmtId="0" fontId="10" fillId="0" borderId="0" xfId="0" applyFont="1"/>
    <xf numFmtId="0" fontId="37" fillId="0" borderId="16" xfId="0" applyFont="1" applyBorder="1" applyAlignment="1">
      <alignment horizontal="center" vertical="center" wrapText="1"/>
    </xf>
    <xf numFmtId="3" fontId="10" fillId="0" borderId="0" xfId="0" applyNumberFormat="1" applyFont="1"/>
    <xf numFmtId="1" fontId="44" fillId="0" borderId="0" xfId="0" applyNumberFormat="1" applyFont="1"/>
    <xf numFmtId="10" fontId="44" fillId="0" borderId="0" xfId="0" applyNumberFormat="1" applyFont="1"/>
    <xf numFmtId="3" fontId="37" fillId="0" borderId="16" xfId="0" applyNumberFormat="1" applyFont="1" applyBorder="1" applyAlignment="1">
      <alignment horizontal="center" vertical="center" wrapText="1"/>
    </xf>
    <xf numFmtId="0" fontId="44" fillId="0" borderId="24" xfId="0" applyFont="1" applyBorder="1" applyAlignment="1">
      <alignment horizontal="left"/>
    </xf>
    <xf numFmtId="0" fontId="37" fillId="0" borderId="0" xfId="0" applyFont="1" applyAlignment="1">
      <alignment wrapText="1"/>
    </xf>
    <xf numFmtId="0" fontId="37" fillId="0" borderId="16" xfId="0" applyFont="1" applyBorder="1"/>
    <xf numFmtId="3" fontId="37" fillId="0" borderId="16" xfId="0" applyNumberFormat="1" applyFont="1" applyBorder="1" applyAlignment="1">
      <alignment horizontal="center"/>
    </xf>
    <xf numFmtId="0" fontId="37" fillId="0" borderId="16" xfId="0" applyFont="1" applyBorder="1" applyAlignment="1">
      <alignment horizontal="center"/>
    </xf>
    <xf numFmtId="3" fontId="37" fillId="0" borderId="0" xfId="0" applyNumberFormat="1" applyFont="1" applyAlignment="1">
      <alignment horizontal="center"/>
    </xf>
    <xf numFmtId="1" fontId="4" fillId="0" borderId="16" xfId="0" applyNumberFormat="1" applyFont="1" applyBorder="1"/>
    <xf numFmtId="166" fontId="2" fillId="0" borderId="16" xfId="0" applyNumberFormat="1" applyFont="1" applyBorder="1"/>
    <xf numFmtId="0" fontId="46" fillId="0" borderId="16" xfId="0" applyFont="1" applyBorder="1"/>
    <xf numFmtId="3" fontId="31" fillId="0" borderId="0" xfId="0" applyNumberFormat="1" applyFont="1"/>
    <xf numFmtId="0" fontId="3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1" fillId="0" borderId="0" xfId="0" applyFont="1" applyAlignment="1">
      <alignment horizontal="center"/>
    </xf>
    <xf numFmtId="3" fontId="36" fillId="0" borderId="0" xfId="0" applyNumberFormat="1" applyFont="1"/>
    <xf numFmtId="0" fontId="36" fillId="0" borderId="0" xfId="0" applyFont="1"/>
    <xf numFmtId="0" fontId="0" fillId="0" borderId="0" xfId="0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9" xfId="0" applyBorder="1"/>
    <xf numFmtId="3" fontId="47" fillId="0" borderId="0" xfId="0" applyNumberFormat="1" applyFont="1"/>
    <xf numFmtId="165" fontId="47" fillId="0" borderId="0" xfId="0" applyNumberFormat="1" applyFont="1"/>
    <xf numFmtId="3" fontId="48" fillId="0" borderId="0" xfId="0" applyNumberFormat="1" applyFont="1"/>
    <xf numFmtId="0" fontId="47" fillId="0" borderId="0" xfId="0" applyFont="1"/>
    <xf numFmtId="166" fontId="4" fillId="0" borderId="21" xfId="0" applyNumberFormat="1" applyFont="1" applyBorder="1"/>
    <xf numFmtId="165" fontId="2" fillId="0" borderId="0" xfId="0" applyNumberFormat="1" applyFont="1"/>
    <xf numFmtId="166" fontId="2" fillId="0" borderId="0" xfId="0" applyNumberFormat="1" applyFont="1"/>
    <xf numFmtId="0" fontId="2" fillId="0" borderId="10" xfId="0" applyFont="1" applyBorder="1"/>
    <xf numFmtId="3" fontId="2" fillId="0" borderId="17" xfId="0" applyNumberFormat="1" applyFont="1" applyBorder="1"/>
    <xf numFmtId="3" fontId="2" fillId="0" borderId="18" xfId="0" applyNumberFormat="1" applyFont="1" applyBorder="1"/>
    <xf numFmtId="3" fontId="2" fillId="0" borderId="23" xfId="0" applyNumberFormat="1" applyFont="1" applyBorder="1"/>
    <xf numFmtId="0" fontId="2" fillId="0" borderId="17" xfId="0" applyFont="1" applyBorder="1" applyAlignment="1">
      <alignment horizontal="centerContinuous"/>
    </xf>
    <xf numFmtId="0" fontId="2" fillId="0" borderId="23" xfId="0" applyFont="1" applyBorder="1" applyAlignment="1">
      <alignment horizontal="centerContinuous"/>
    </xf>
    <xf numFmtId="0" fontId="2" fillId="0" borderId="18" xfId="0" applyFont="1" applyBorder="1" applyAlignment="1">
      <alignment horizontal="centerContinuous"/>
    </xf>
    <xf numFmtId="0" fontId="2" fillId="0" borderId="22" xfId="0" applyFont="1" applyBorder="1"/>
    <xf numFmtId="3" fontId="2" fillId="0" borderId="19" xfId="0" applyNumberFormat="1" applyFont="1" applyBorder="1"/>
    <xf numFmtId="3" fontId="2" fillId="0" borderId="20" xfId="0" applyNumberFormat="1" applyFont="1" applyBorder="1"/>
    <xf numFmtId="3" fontId="2" fillId="0" borderId="24" xfId="0" applyNumberFormat="1" applyFont="1" applyBorder="1"/>
    <xf numFmtId="0" fontId="2" fillId="0" borderId="19" xfId="0" applyFont="1" applyBorder="1" applyAlignment="1">
      <alignment horizontal="centerContinuous"/>
    </xf>
    <xf numFmtId="0" fontId="2" fillId="0" borderId="24" xfId="0" applyFont="1" applyBorder="1" applyAlignment="1">
      <alignment horizontal="centerContinuous"/>
    </xf>
    <xf numFmtId="0" fontId="2" fillId="0" borderId="20" xfId="0" applyFont="1" applyBorder="1" applyAlignment="1">
      <alignment horizontal="centerContinuous"/>
    </xf>
    <xf numFmtId="0" fontId="2" fillId="0" borderId="21" xfId="0" applyFont="1" applyBorder="1"/>
    <xf numFmtId="3" fontId="2" fillId="0" borderId="10" xfId="0" applyNumberFormat="1" applyFont="1" applyBorder="1"/>
    <xf numFmtId="0" fontId="2" fillId="0" borderId="16" xfId="0" applyFont="1" applyBorder="1"/>
    <xf numFmtId="3" fontId="2" fillId="0" borderId="21" xfId="0" applyNumberFormat="1" applyFont="1" applyBorder="1"/>
    <xf numFmtId="0" fontId="2" fillId="0" borderId="16" xfId="0" applyFont="1" applyBorder="1" applyAlignment="1">
      <alignment horizontal="left"/>
    </xf>
    <xf numFmtId="166" fontId="2" fillId="0" borderId="21" xfId="0" applyNumberFormat="1" applyFont="1" applyBorder="1"/>
    <xf numFmtId="0" fontId="2" fillId="0" borderId="19" xfId="0" applyFont="1" applyBorder="1"/>
    <xf numFmtId="4" fontId="6" fillId="0" borderId="0" xfId="0" applyNumberFormat="1" applyFont="1"/>
    <xf numFmtId="3" fontId="6" fillId="0" borderId="0" xfId="0" applyNumberFormat="1" applyFont="1"/>
    <xf numFmtId="0" fontId="12" fillId="0" borderId="10" xfId="0" applyFont="1" applyBorder="1" applyAlignment="1">
      <alignment horizontal="center"/>
    </xf>
    <xf numFmtId="4" fontId="12" fillId="0" borderId="17" xfId="0" applyNumberFormat="1" applyFont="1" applyBorder="1" applyAlignment="1">
      <alignment horizontal="center"/>
    </xf>
    <xf numFmtId="3" fontId="12" fillId="0" borderId="23" xfId="0" applyNumberFormat="1" applyFont="1" applyBorder="1" applyAlignment="1">
      <alignment horizontal="center"/>
    </xf>
    <xf numFmtId="3" fontId="12" fillId="0" borderId="10" xfId="0" applyNumberFormat="1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4" fontId="12" fillId="0" borderId="29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/>
    </xf>
    <xf numFmtId="3" fontId="12" fillId="0" borderId="22" xfId="0" applyNumberFormat="1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4" fontId="12" fillId="0" borderId="19" xfId="0" applyNumberFormat="1" applyFont="1" applyBorder="1" applyAlignment="1">
      <alignment horizontal="center"/>
    </xf>
    <xf numFmtId="3" fontId="12" fillId="0" borderId="24" xfId="0" applyNumberFormat="1" applyFont="1" applyBorder="1" applyAlignment="1">
      <alignment horizontal="center"/>
    </xf>
    <xf numFmtId="3" fontId="12" fillId="0" borderId="21" xfId="0" applyNumberFormat="1" applyFont="1" applyBorder="1" applyAlignment="1">
      <alignment horizontal="center"/>
    </xf>
    <xf numFmtId="3" fontId="12" fillId="0" borderId="16" xfId="0" applyNumberFormat="1" applyFont="1" applyBorder="1" applyAlignment="1">
      <alignment horizontal="center"/>
    </xf>
    <xf numFmtId="166" fontId="12" fillId="0" borderId="16" xfId="0" applyNumberFormat="1" applyFont="1" applyBorder="1" applyAlignment="1">
      <alignment horizontal="center"/>
    </xf>
    <xf numFmtId="1" fontId="12" fillId="0" borderId="16" xfId="0" applyNumberFormat="1" applyFont="1" applyBorder="1" applyAlignment="1">
      <alignment horizontal="center"/>
    </xf>
    <xf numFmtId="4" fontId="12" fillId="0" borderId="16" xfId="0" applyNumberFormat="1" applyFont="1" applyBorder="1" applyAlignment="1">
      <alignment horizontal="center"/>
    </xf>
    <xf numFmtId="2" fontId="12" fillId="0" borderId="16" xfId="0" applyNumberFormat="1" applyFont="1" applyBorder="1" applyAlignment="1">
      <alignment horizontal="center"/>
    </xf>
    <xf numFmtId="4" fontId="5" fillId="0" borderId="21" xfId="194" applyNumberFormat="1" applyFont="1" applyFill="1" applyBorder="1" applyAlignment="1">
      <alignment horizontal="center"/>
    </xf>
    <xf numFmtId="4" fontId="5" fillId="0" borderId="21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166" fontId="5" fillId="0" borderId="16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66" fontId="5" fillId="0" borderId="28" xfId="0" applyNumberFormat="1" applyFont="1" applyBorder="1" applyAlignment="1">
      <alignment horizontal="center"/>
    </xf>
    <xf numFmtId="0" fontId="12" fillId="0" borderId="31" xfId="0" applyFont="1" applyBorder="1"/>
    <xf numFmtId="0" fontId="49" fillId="0" borderId="0" xfId="0" applyFont="1"/>
    <xf numFmtId="3" fontId="49" fillId="0" borderId="0" xfId="0" applyNumberFormat="1" applyFont="1" applyAlignment="1">
      <alignment horizontal="center"/>
    </xf>
    <xf numFmtId="166" fontId="49" fillId="0" borderId="0" xfId="0" applyNumberFormat="1" applyFont="1" applyAlignment="1">
      <alignment horizontal="center"/>
    </xf>
    <xf numFmtId="0" fontId="49" fillId="0" borderId="0" xfId="0" applyFont="1" applyAlignment="1">
      <alignment horizontal="center"/>
    </xf>
    <xf numFmtId="4" fontId="49" fillId="0" borderId="0" xfId="0" applyNumberFormat="1" applyFont="1" applyAlignment="1">
      <alignment horizontal="center"/>
    </xf>
    <xf numFmtId="2" fontId="49" fillId="0" borderId="0" xfId="0" applyNumberFormat="1" applyFont="1" applyAlignment="1">
      <alignment horizontal="center"/>
    </xf>
    <xf numFmtId="4" fontId="8" fillId="0" borderId="0" xfId="194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1" fontId="49" fillId="0" borderId="0" xfId="0" applyNumberFormat="1" applyFont="1" applyAlignment="1">
      <alignment horizontal="center"/>
    </xf>
    <xf numFmtId="3" fontId="49" fillId="0" borderId="0" xfId="0" applyNumberFormat="1" applyFont="1" applyAlignment="1">
      <alignment horizontal="right"/>
    </xf>
    <xf numFmtId="4" fontId="4" fillId="0" borderId="0" xfId="0" applyNumberFormat="1" applyFont="1"/>
    <xf numFmtId="0" fontId="32" fillId="0" borderId="10" xfId="0" applyFont="1" applyBorder="1"/>
    <xf numFmtId="0" fontId="32" fillId="0" borderId="21" xfId="0" applyFont="1" applyBorder="1"/>
    <xf numFmtId="0" fontId="4" fillId="0" borderId="29" xfId="0" applyFont="1" applyBorder="1"/>
    <xf numFmtId="1" fontId="5" fillId="19" borderId="16" xfId="0" applyNumberFormat="1" applyFont="1" applyFill="1" applyBorder="1" applyAlignment="1">
      <alignment horizontal="center"/>
    </xf>
    <xf numFmtId="3" fontId="5" fillId="19" borderId="16" xfId="0" applyNumberFormat="1" applyFont="1" applyFill="1" applyBorder="1" applyAlignment="1">
      <alignment horizontal="right"/>
    </xf>
    <xf numFmtId="166" fontId="5" fillId="19" borderId="16" xfId="0" applyNumberFormat="1" applyFont="1" applyFill="1" applyBorder="1" applyAlignment="1">
      <alignment horizontal="center"/>
    </xf>
    <xf numFmtId="3" fontId="0" fillId="0" borderId="28" xfId="0" applyNumberFormat="1" applyBorder="1" applyAlignment="1">
      <alignment horizontal="centerContinuous"/>
    </xf>
    <xf numFmtId="3" fontId="0" fillId="0" borderId="32" xfId="0" applyNumberFormat="1" applyBorder="1" applyAlignment="1">
      <alignment horizontal="centerContinuous"/>
    </xf>
    <xf numFmtId="3" fontId="0" fillId="0" borderId="31" xfId="0" applyNumberFormat="1" applyBorder="1" applyAlignment="1">
      <alignment horizontal="centerContinuous"/>
    </xf>
    <xf numFmtId="3" fontId="0" fillId="0" borderId="10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/>
    <xf numFmtId="3" fontId="0" fillId="0" borderId="16" xfId="0" applyNumberFormat="1" applyBorder="1"/>
    <xf numFmtId="168" fontId="0" fillId="0" borderId="0" xfId="0" applyNumberFormat="1"/>
    <xf numFmtId="3" fontId="0" fillId="0" borderId="22" xfId="0" applyNumberFormat="1" applyBorder="1" applyAlignment="1">
      <alignment horizontal="center"/>
    </xf>
    <xf numFmtId="0" fontId="0" fillId="0" borderId="30" xfId="0" applyBorder="1"/>
    <xf numFmtId="3" fontId="0" fillId="0" borderId="24" xfId="0" applyNumberFormat="1" applyBorder="1" applyAlignment="1">
      <alignment horizontal="center"/>
    </xf>
    <xf numFmtId="0" fontId="0" fillId="0" borderId="32" xfId="0" applyBorder="1"/>
    <xf numFmtId="0" fontId="0" fillId="0" borderId="31" xfId="0" applyBorder="1"/>
    <xf numFmtId="3" fontId="0" fillId="0" borderId="23" xfId="0" applyNumberFormat="1" applyBorder="1"/>
    <xf numFmtId="0" fontId="0" fillId="0" borderId="28" xfId="0" applyBorder="1"/>
    <xf numFmtId="3" fontId="0" fillId="0" borderId="28" xfId="0" applyNumberFormat="1" applyBorder="1"/>
    <xf numFmtId="3" fontId="0" fillId="0" borderId="32" xfId="0" applyNumberFormat="1" applyBorder="1"/>
    <xf numFmtId="3" fontId="0" fillId="0" borderId="31" xfId="0" applyNumberFormat="1" applyBorder="1"/>
    <xf numFmtId="3" fontId="0" fillId="0" borderId="29" xfId="0" applyNumberFormat="1" applyBorder="1"/>
    <xf numFmtId="3" fontId="0" fillId="0" borderId="30" xfId="0" applyNumberFormat="1" applyBorder="1"/>
    <xf numFmtId="3" fontId="0" fillId="0" borderId="24" xfId="0" applyNumberFormat="1" applyBorder="1"/>
    <xf numFmtId="169" fontId="0" fillId="0" borderId="0" xfId="0" applyNumberFormat="1"/>
    <xf numFmtId="3" fontId="0" fillId="0" borderId="0" xfId="0" applyNumberFormat="1" applyAlignment="1">
      <alignment horizontal="right"/>
    </xf>
    <xf numFmtId="4" fontId="0" fillId="0" borderId="32" xfId="0" applyNumberFormat="1" applyBorder="1"/>
    <xf numFmtId="170" fontId="0" fillId="0" borderId="0" xfId="0" applyNumberFormat="1"/>
    <xf numFmtId="3" fontId="0" fillId="0" borderId="16" xfId="0" applyNumberFormat="1" applyBorder="1" applyAlignment="1">
      <alignment horizontal="right"/>
    </xf>
    <xf numFmtId="0" fontId="30" fillId="0" borderId="0" xfId="0" applyFont="1"/>
    <xf numFmtId="165" fontId="0" fillId="0" borderId="0" xfId="0" applyNumberFormat="1"/>
    <xf numFmtId="0" fontId="38" fillId="0" borderId="0" xfId="0" applyFont="1"/>
    <xf numFmtId="0" fontId="58" fillId="0" borderId="0" xfId="0" applyFont="1"/>
    <xf numFmtId="166" fontId="0" fillId="0" borderId="0" xfId="0" applyNumberFormat="1"/>
    <xf numFmtId="0" fontId="0" fillId="0" borderId="16" xfId="0" applyBorder="1" applyAlignment="1">
      <alignment horizontal="left"/>
    </xf>
    <xf numFmtId="166" fontId="0" fillId="0" borderId="21" xfId="0" applyNumberFormat="1" applyBorder="1"/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 wrapText="1"/>
    </xf>
    <xf numFmtId="2" fontId="59" fillId="0" borderId="0" xfId="0" applyNumberFormat="1" applyFont="1" applyAlignment="1">
      <alignment horizontal="center"/>
    </xf>
    <xf numFmtId="0" fontId="59" fillId="0" borderId="0" xfId="0" applyFont="1" applyAlignment="1">
      <alignment horizontal="center"/>
    </xf>
    <xf numFmtId="166" fontId="59" fillId="0" borderId="0" xfId="0" applyNumberFormat="1" applyFont="1" applyAlignment="1">
      <alignment horizontal="center"/>
    </xf>
    <xf numFmtId="0" fontId="60" fillId="0" borderId="0" xfId="0" applyFont="1"/>
    <xf numFmtId="0" fontId="3" fillId="0" borderId="3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0" borderId="0" xfId="0" applyFont="1" applyAlignment="1">
      <alignment horizontal="centerContinuous"/>
    </xf>
    <xf numFmtId="0" fontId="0" fillId="0" borderId="33" xfId="0" applyBorder="1" applyAlignment="1">
      <alignment horizontal="centerContinuous"/>
    </xf>
    <xf numFmtId="0" fontId="0" fillId="0" borderId="27" xfId="0" applyBorder="1" applyAlignment="1">
      <alignment horizontal="centerContinuous"/>
    </xf>
    <xf numFmtId="0" fontId="51" fillId="0" borderId="0" xfId="0" applyFont="1"/>
    <xf numFmtId="0" fontId="61" fillId="0" borderId="16" xfId="0" applyFont="1" applyBorder="1" applyAlignment="1">
      <alignment horizontal="center" vertical="center" wrapText="1"/>
    </xf>
    <xf numFmtId="0" fontId="63" fillId="0" borderId="16" xfId="0" applyFont="1" applyBorder="1" applyAlignment="1">
      <alignment horizontal="center" vertical="center" wrapText="1"/>
    </xf>
    <xf numFmtId="0" fontId="63" fillId="0" borderId="28" xfId="0" applyFont="1" applyBorder="1" applyAlignment="1">
      <alignment vertical="center" wrapText="1"/>
    </xf>
    <xf numFmtId="0" fontId="63" fillId="0" borderId="28" xfId="0" applyFont="1" applyBorder="1" applyAlignment="1">
      <alignment vertical="center"/>
    </xf>
    <xf numFmtId="0" fontId="63" fillId="0" borderId="32" xfId="0" applyFont="1" applyBorder="1" applyAlignment="1">
      <alignment vertical="center" wrapText="1"/>
    </xf>
    <xf numFmtId="0" fontId="63" fillId="0" borderId="32" xfId="0" applyFont="1" applyBorder="1" applyAlignment="1">
      <alignment horizontal="right" vertical="center" wrapText="1"/>
    </xf>
    <xf numFmtId="0" fontId="63" fillId="0" borderId="31" xfId="0" applyFont="1" applyBorder="1" applyAlignment="1">
      <alignment horizontal="right" vertical="center" wrapText="1"/>
    </xf>
    <xf numFmtId="0" fontId="61" fillId="0" borderId="16" xfId="0" applyFont="1" applyBorder="1" applyAlignment="1">
      <alignment horizontal="left" vertical="center"/>
    </xf>
    <xf numFmtId="3" fontId="61" fillId="0" borderId="16" xfId="0" applyNumberFormat="1" applyFont="1" applyBorder="1" applyAlignment="1">
      <alignment horizontal="right" vertical="center" wrapText="1"/>
    </xf>
    <xf numFmtId="0" fontId="63" fillId="0" borderId="16" xfId="0" applyFont="1" applyBorder="1" applyAlignment="1">
      <alignment horizontal="left" vertical="center"/>
    </xf>
    <xf numFmtId="3" fontId="63" fillId="0" borderId="16" xfId="0" applyNumberFormat="1" applyFont="1" applyBorder="1" applyAlignment="1">
      <alignment horizontal="right" vertical="center" wrapText="1"/>
    </xf>
    <xf numFmtId="3" fontId="39" fillId="0" borderId="0" xfId="0" applyNumberFormat="1" applyFont="1"/>
    <xf numFmtId="0" fontId="63" fillId="0" borderId="16" xfId="0" applyFont="1" applyBorder="1" applyAlignment="1">
      <alignment vertical="center" wrapText="1"/>
    </xf>
    <xf numFmtId="0" fontId="63" fillId="0" borderId="16" xfId="0" applyFont="1" applyBorder="1" applyAlignment="1">
      <alignment vertical="center"/>
    </xf>
    <xf numFmtId="0" fontId="63" fillId="0" borderId="16" xfId="0" applyFont="1" applyBorder="1" applyAlignment="1">
      <alignment horizontal="right" vertical="center" wrapText="1"/>
    </xf>
    <xf numFmtId="0" fontId="64" fillId="0" borderId="0" xfId="0" applyFont="1" applyAlignment="1">
      <alignment horizontal="center" vertical="center" wrapText="1"/>
    </xf>
    <xf numFmtId="0" fontId="61" fillId="0" borderId="16" xfId="0" applyFont="1" applyBorder="1" applyAlignment="1">
      <alignment horizontal="center" vertical="center"/>
    </xf>
    <xf numFmtId="14" fontId="61" fillId="0" borderId="16" xfId="0" applyNumberFormat="1" applyFont="1" applyBorder="1" applyAlignment="1">
      <alignment horizontal="center" vertical="center"/>
    </xf>
    <xf numFmtId="0" fontId="58" fillId="0" borderId="0" xfId="0" applyFont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/>
    </xf>
    <xf numFmtId="0" fontId="58" fillId="0" borderId="16" xfId="0" applyFont="1" applyBorder="1"/>
    <xf numFmtId="3" fontId="58" fillId="0" borderId="16" xfId="0" applyNumberFormat="1" applyFont="1" applyBorder="1" applyAlignment="1">
      <alignment horizontal="center"/>
    </xf>
    <xf numFmtId="0" fontId="42" fillId="0" borderId="16" xfId="0" applyFont="1" applyBorder="1" applyAlignment="1">
      <alignment horizontal="right"/>
    </xf>
    <xf numFmtId="0" fontId="58" fillId="0" borderId="16" xfId="0" applyFont="1" applyBorder="1" applyAlignment="1">
      <alignment wrapText="1"/>
    </xf>
    <xf numFmtId="0" fontId="58" fillId="0" borderId="0" xfId="0" applyFont="1" applyAlignment="1">
      <alignment wrapText="1"/>
    </xf>
    <xf numFmtId="0" fontId="42" fillId="0" borderId="16" xfId="0" applyFont="1" applyBorder="1"/>
    <xf numFmtId="3" fontId="42" fillId="0" borderId="16" xfId="0" applyNumberFormat="1" applyFont="1" applyBorder="1" applyAlignment="1">
      <alignment horizontal="center"/>
    </xf>
    <xf numFmtId="0" fontId="42" fillId="0" borderId="0" xfId="0" applyFont="1"/>
    <xf numFmtId="3" fontId="58" fillId="0" borderId="0" xfId="0" applyNumberFormat="1" applyFont="1"/>
    <xf numFmtId="1" fontId="58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1" fontId="12" fillId="0" borderId="16" xfId="0" applyNumberFormat="1" applyFont="1" applyBorder="1" applyAlignment="1">
      <alignment horizontal="right"/>
    </xf>
    <xf numFmtId="166" fontId="8" fillId="0" borderId="0" xfId="0" applyNumberFormat="1" applyFont="1" applyAlignment="1">
      <alignment horizontal="center"/>
    </xf>
    <xf numFmtId="3" fontId="60" fillId="0" borderId="0" xfId="0" applyNumberFormat="1" applyFont="1"/>
    <xf numFmtId="3" fontId="65" fillId="0" borderId="0" xfId="0" applyNumberFormat="1" applyFont="1"/>
    <xf numFmtId="0" fontId="40" fillId="0" borderId="0" xfId="165" applyFont="1"/>
    <xf numFmtId="0" fontId="40" fillId="0" borderId="0" xfId="165" applyFont="1" applyAlignment="1">
      <alignment horizontal="center"/>
    </xf>
    <xf numFmtId="0" fontId="40" fillId="0" borderId="0" xfId="165" applyFont="1" applyAlignment="1">
      <alignment vertical="center"/>
    </xf>
    <xf numFmtId="0" fontId="40" fillId="0" borderId="0" xfId="0" applyFont="1" applyAlignment="1">
      <alignment vertical="center"/>
    </xf>
    <xf numFmtId="3" fontId="40" fillId="0" borderId="16" xfId="165" applyNumberFormat="1" applyFont="1" applyBorder="1" applyAlignment="1">
      <alignment horizontal="center" vertical="center" wrapText="1"/>
    </xf>
    <xf numFmtId="3" fontId="40" fillId="0" borderId="16" xfId="165" applyNumberFormat="1" applyFont="1" applyBorder="1" applyAlignment="1">
      <alignment horizontal="right" vertical="center" wrapText="1"/>
    </xf>
    <xf numFmtId="3" fontId="40" fillId="0" borderId="16" xfId="0" applyNumberFormat="1" applyFont="1" applyBorder="1" applyAlignment="1">
      <alignment horizontal="right" vertical="center"/>
    </xf>
    <xf numFmtId="169" fontId="40" fillId="0" borderId="16" xfId="0" applyNumberFormat="1" applyFont="1" applyBorder="1" applyAlignment="1">
      <alignment horizontal="right" vertical="center"/>
    </xf>
    <xf numFmtId="169" fontId="40" fillId="0" borderId="16" xfId="165" applyNumberFormat="1" applyFont="1" applyBorder="1" applyAlignment="1">
      <alignment horizontal="right" vertical="center" wrapText="1"/>
    </xf>
    <xf numFmtId="3" fontId="40" fillId="0" borderId="16" xfId="0" applyNumberFormat="1" applyFont="1" applyBorder="1" applyAlignment="1">
      <alignment horizontal="right" vertical="center" wrapText="1"/>
    </xf>
    <xf numFmtId="3" fontId="39" fillId="0" borderId="16" xfId="165" applyNumberFormat="1" applyFont="1" applyBorder="1" applyAlignment="1">
      <alignment horizontal="center" vertical="center" wrapText="1"/>
    </xf>
    <xf numFmtId="3" fontId="39" fillId="0" borderId="16" xfId="165" applyNumberFormat="1" applyFont="1" applyBorder="1" applyAlignment="1">
      <alignment horizontal="right" vertical="center" wrapText="1"/>
    </xf>
    <xf numFmtId="169" fontId="39" fillId="0" borderId="16" xfId="165" applyNumberFormat="1" applyFont="1" applyBorder="1" applyAlignment="1">
      <alignment horizontal="right" vertical="center" wrapText="1"/>
    </xf>
    <xf numFmtId="49" fontId="39" fillId="0" borderId="16" xfId="165" applyNumberFormat="1" applyFont="1" applyBorder="1" applyAlignment="1">
      <alignment horizontal="center" vertical="center" wrapText="1"/>
    </xf>
    <xf numFmtId="49" fontId="40" fillId="0" borderId="16" xfId="165" applyNumberFormat="1" applyFont="1" applyBorder="1" applyAlignment="1">
      <alignment horizontal="center" vertical="center" wrapText="1"/>
    </xf>
    <xf numFmtId="1" fontId="40" fillId="0" borderId="16" xfId="165" applyNumberFormat="1" applyFont="1" applyBorder="1" applyAlignment="1">
      <alignment horizontal="right" vertical="center" wrapText="1"/>
    </xf>
    <xf numFmtId="166" fontId="40" fillId="0" borderId="16" xfId="165" applyNumberFormat="1" applyFont="1" applyBorder="1" applyAlignment="1">
      <alignment horizontal="right" vertical="center" wrapText="1"/>
    </xf>
    <xf numFmtId="1" fontId="40" fillId="0" borderId="16" xfId="165" applyNumberFormat="1" applyFont="1" applyBorder="1" applyAlignment="1">
      <alignment horizontal="right"/>
    </xf>
    <xf numFmtId="0" fontId="39" fillId="0" borderId="0" xfId="165" applyFont="1"/>
    <xf numFmtId="0" fontId="40" fillId="0" borderId="0" xfId="0" applyFont="1" applyAlignment="1">
      <alignment horizontal="center"/>
    </xf>
    <xf numFmtId="3" fontId="39" fillId="0" borderId="0" xfId="165" applyNumberFormat="1" applyFont="1" applyAlignment="1">
      <alignment horizontal="right" vertical="center" wrapText="1"/>
    </xf>
    <xf numFmtId="3" fontId="40" fillId="0" borderId="0" xfId="0" applyNumberFormat="1" applyFont="1"/>
    <xf numFmtId="0" fontId="40" fillId="0" borderId="0" xfId="0" applyFont="1" applyAlignment="1">
      <alignment horizontal="left"/>
    </xf>
    <xf numFmtId="1" fontId="39" fillId="0" borderId="0" xfId="165" applyNumberFormat="1" applyFont="1"/>
    <xf numFmtId="166" fontId="39" fillId="0" borderId="0" xfId="165" applyNumberFormat="1" applyFont="1" applyAlignment="1">
      <alignment horizontal="left"/>
    </xf>
    <xf numFmtId="1" fontId="39" fillId="0" borderId="0" xfId="165" applyNumberFormat="1" applyFont="1" applyAlignment="1">
      <alignment horizontal="left"/>
    </xf>
    <xf numFmtId="1" fontId="40" fillId="0" borderId="0" xfId="165" applyNumberFormat="1" applyFont="1" applyAlignment="1">
      <alignment horizontal="center" vertical="center"/>
    </xf>
    <xf numFmtId="166" fontId="40" fillId="0" borderId="0" xfId="165" applyNumberFormat="1" applyFont="1" applyAlignment="1">
      <alignment horizontal="center" vertical="center"/>
    </xf>
    <xf numFmtId="0" fontId="39" fillId="0" borderId="16" xfId="165" applyFont="1" applyBorder="1" applyAlignment="1">
      <alignment horizontal="right"/>
    </xf>
    <xf numFmtId="166" fontId="39" fillId="0" borderId="16" xfId="165" applyNumberFormat="1" applyFont="1" applyBorder="1" applyAlignment="1">
      <alignment horizontal="right" vertical="center" wrapText="1"/>
    </xf>
    <xf numFmtId="166" fontId="40" fillId="0" borderId="16" xfId="165" applyNumberFormat="1" applyFont="1" applyBorder="1" applyAlignment="1">
      <alignment horizontal="right"/>
    </xf>
    <xf numFmtId="1" fontId="39" fillId="0" borderId="16" xfId="165" applyNumberFormat="1" applyFont="1" applyBorder="1" applyAlignment="1">
      <alignment horizontal="right" vertical="center" wrapText="1"/>
    </xf>
    <xf numFmtId="166" fontId="39" fillId="0" borderId="16" xfId="165" applyNumberFormat="1" applyFont="1" applyBorder="1" applyAlignment="1">
      <alignment horizontal="right"/>
    </xf>
    <xf numFmtId="0" fontId="39" fillId="0" borderId="16" xfId="165" applyFont="1" applyBorder="1" applyAlignment="1">
      <alignment horizontal="left"/>
    </xf>
    <xf numFmtId="49" fontId="39" fillId="0" borderId="16" xfId="165" applyNumberFormat="1" applyFont="1" applyBorder="1" applyAlignment="1">
      <alignment horizontal="left" vertical="center"/>
    </xf>
    <xf numFmtId="49" fontId="0" fillId="0" borderId="16" xfId="0" applyNumberFormat="1" applyBorder="1"/>
    <xf numFmtId="1" fontId="40" fillId="0" borderId="0" xfId="165" applyNumberFormat="1" applyFont="1"/>
    <xf numFmtId="0" fontId="0" fillId="0" borderId="16" xfId="0" applyBorder="1" applyAlignment="1">
      <alignment horizontal="center" vertical="center" wrapText="1"/>
    </xf>
    <xf numFmtId="0" fontId="40" fillId="0" borderId="16" xfId="165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40" fillId="0" borderId="16" xfId="165" applyFont="1" applyBorder="1" applyAlignment="1">
      <alignment horizontal="center" vertical="center" wrapText="1"/>
    </xf>
    <xf numFmtId="0" fontId="39" fillId="0" borderId="0" xfId="165" applyFont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8" xfId="0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19" xfId="0" applyFont="1" applyBorder="1" applyAlignment="1">
      <alignment horizontal="left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4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53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58" fillId="0" borderId="11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63" fillId="0" borderId="16" xfId="0" applyFont="1" applyBorder="1" applyAlignment="1">
      <alignment horizontal="center" vertical="center" wrapText="1"/>
    </xf>
    <xf numFmtId="0" fontId="61" fillId="0" borderId="16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/>
    </xf>
    <xf numFmtId="0" fontId="43" fillId="0" borderId="0" xfId="0" applyFont="1" applyAlignment="1">
      <alignment horizontal="center" wrapText="1"/>
    </xf>
    <xf numFmtId="3" fontId="9" fillId="0" borderId="16" xfId="0" applyNumberFormat="1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67" fillId="0" borderId="0" xfId="0" applyFont="1"/>
    <xf numFmtId="3" fontId="67" fillId="0" borderId="0" xfId="0" applyNumberFormat="1" applyFont="1"/>
    <xf numFmtId="0" fontId="68" fillId="0" borderId="0" xfId="164" applyFont="1" applyAlignment="1">
      <alignment horizontal="center" vertical="center"/>
    </xf>
    <xf numFmtId="0" fontId="69" fillId="0" borderId="0" xfId="164" applyFont="1" applyAlignment="1">
      <alignment vertical="center"/>
    </xf>
    <xf numFmtId="0" fontId="69" fillId="0" borderId="0" xfId="164" applyFont="1" applyAlignment="1">
      <alignment horizontal="center" vertical="center"/>
    </xf>
    <xf numFmtId="0" fontId="69" fillId="0" borderId="30" xfId="164" applyFont="1" applyBorder="1" applyAlignment="1">
      <alignment vertical="center"/>
    </xf>
    <xf numFmtId="0" fontId="69" fillId="0" borderId="10" xfId="164" applyFont="1" applyBorder="1" applyAlignment="1">
      <alignment horizontal="center" vertical="center"/>
    </xf>
    <xf numFmtId="49" fontId="69" fillId="0" borderId="16" xfId="164" applyNumberFormat="1" applyFont="1" applyBorder="1" applyAlignment="1">
      <alignment horizontal="right" vertical="center"/>
    </xf>
    <xf numFmtId="0" fontId="69" fillId="0" borderId="24" xfId="164" applyFont="1" applyBorder="1" applyAlignment="1">
      <alignment vertical="center"/>
    </xf>
    <xf numFmtId="0" fontId="69" fillId="0" borderId="0" xfId="164" applyFont="1" applyAlignment="1">
      <alignment horizontal="right" vertical="center"/>
    </xf>
    <xf numFmtId="0" fontId="69" fillId="0" borderId="32" xfId="164" applyFont="1" applyBorder="1" applyAlignment="1">
      <alignment vertical="center"/>
    </xf>
    <xf numFmtId="0" fontId="69" fillId="0" borderId="16" xfId="164" applyFont="1" applyBorder="1" applyAlignment="1">
      <alignment horizontal="right" vertical="center"/>
    </xf>
    <xf numFmtId="14" fontId="69" fillId="0" borderId="16" xfId="164" applyNumberFormat="1" applyFont="1" applyBorder="1" applyAlignment="1">
      <alignment horizontal="right" vertical="center"/>
    </xf>
    <xf numFmtId="0" fontId="70" fillId="0" borderId="0" xfId="164" applyFont="1" applyAlignment="1">
      <alignment vertical="center"/>
    </xf>
    <xf numFmtId="0" fontId="72" fillId="0" borderId="0" xfId="0" applyFont="1"/>
    <xf numFmtId="3" fontId="72" fillId="0" borderId="0" xfId="0" applyNumberFormat="1" applyFont="1"/>
    <xf numFmtId="0" fontId="72" fillId="0" borderId="16" xfId="0" applyFont="1" applyBorder="1" applyAlignment="1">
      <alignment horizontal="center" vertical="center"/>
    </xf>
    <xf numFmtId="0" fontId="72" fillId="0" borderId="16" xfId="0" applyFont="1" applyBorder="1" applyAlignment="1">
      <alignment horizontal="center" vertical="center" wrapText="1"/>
    </xf>
    <xf numFmtId="0" fontId="72" fillId="0" borderId="16" xfId="0" applyFont="1" applyBorder="1" applyAlignment="1">
      <alignment horizontal="center" vertical="center" wrapText="1"/>
    </xf>
    <xf numFmtId="0" fontId="72" fillId="0" borderId="16" xfId="0" applyFont="1" applyBorder="1" applyAlignment="1">
      <alignment horizontal="left" vertical="center" wrapText="1"/>
    </xf>
    <xf numFmtId="49" fontId="72" fillId="0" borderId="16" xfId="0" applyNumberFormat="1" applyFont="1" applyBorder="1" applyAlignment="1">
      <alignment horizontal="center" vertical="center"/>
    </xf>
    <xf numFmtId="3" fontId="67" fillId="0" borderId="16" xfId="0" quotePrefix="1" applyNumberFormat="1" applyFont="1" applyBorder="1" applyAlignment="1">
      <alignment horizontal="right" vertical="center"/>
    </xf>
    <xf numFmtId="3" fontId="67" fillId="0" borderId="16" xfId="0" applyNumberFormat="1" applyFont="1" applyBorder="1" applyAlignment="1">
      <alignment horizontal="right" vertical="center"/>
    </xf>
    <xf numFmtId="3" fontId="72" fillId="0" borderId="16" xfId="0" quotePrefix="1" applyNumberFormat="1" applyFont="1" applyBorder="1" applyAlignment="1">
      <alignment horizontal="right" vertical="center"/>
    </xf>
    <xf numFmtId="3" fontId="72" fillId="0" borderId="16" xfId="0" applyNumberFormat="1" applyFont="1" applyBorder="1" applyAlignment="1">
      <alignment horizontal="right" vertical="center"/>
    </xf>
    <xf numFmtId="3" fontId="73" fillId="0" borderId="16" xfId="0" applyNumberFormat="1" applyFont="1" applyBorder="1" applyAlignment="1">
      <alignment horizontal="right"/>
    </xf>
    <xf numFmtId="0" fontId="69" fillId="0" borderId="0" xfId="0" applyFont="1" applyAlignment="1">
      <alignment horizontal="center" vertical="center" wrapText="1"/>
    </xf>
    <xf numFmtId="0" fontId="74" fillId="0" borderId="0" xfId="0" applyFont="1"/>
    <xf numFmtId="0" fontId="74" fillId="0" borderId="24" xfId="0" applyFont="1" applyBorder="1" applyAlignment="1">
      <alignment horizontal="center" vertical="center"/>
    </xf>
    <xf numFmtId="0" fontId="69" fillId="0" borderId="16" xfId="0" applyFont="1" applyBorder="1" applyAlignment="1">
      <alignment horizontal="center" vertical="center"/>
    </xf>
    <xf numFmtId="0" fontId="69" fillId="0" borderId="16" xfId="0" applyFont="1" applyBorder="1" applyAlignment="1">
      <alignment horizontal="center" vertical="center" wrapText="1"/>
    </xf>
    <xf numFmtId="0" fontId="74" fillId="0" borderId="16" xfId="0" applyFont="1" applyBorder="1" applyAlignment="1">
      <alignment horizontal="left" vertical="center" wrapText="1"/>
    </xf>
    <xf numFmtId="49" fontId="74" fillId="0" borderId="16" xfId="0" applyNumberFormat="1" applyFont="1" applyBorder="1" applyAlignment="1">
      <alignment horizontal="center" vertical="center"/>
    </xf>
    <xf numFmtId="3" fontId="67" fillId="0" borderId="0" xfId="0" applyNumberFormat="1" applyFont="1" applyAlignment="1">
      <alignment horizontal="right"/>
    </xf>
    <xf numFmtId="49" fontId="72" fillId="0" borderId="0" xfId="0" applyNumberFormat="1" applyFont="1"/>
    <xf numFmtId="49" fontId="67" fillId="0" borderId="0" xfId="0" applyNumberFormat="1" applyFont="1"/>
    <xf numFmtId="49" fontId="67" fillId="0" borderId="0" xfId="0" applyNumberFormat="1" applyFont="1" applyFill="1"/>
    <xf numFmtId="3" fontId="67" fillId="0" borderId="0" xfId="0" applyNumberFormat="1" applyFont="1" applyFill="1"/>
    <xf numFmtId="0" fontId="75" fillId="0" borderId="0" xfId="0" applyFont="1" applyFill="1" applyAlignment="1">
      <alignment vertical="center"/>
    </xf>
    <xf numFmtId="0" fontId="67" fillId="0" borderId="0" xfId="0" applyFont="1" applyFill="1" applyAlignment="1">
      <alignment vertical="center"/>
    </xf>
    <xf numFmtId="0" fontId="76" fillId="0" borderId="0" xfId="0" applyFont="1" applyFill="1" applyAlignment="1">
      <alignment vertical="center"/>
    </xf>
    <xf numFmtId="0" fontId="77" fillId="0" borderId="0" xfId="0" applyFont="1" applyFill="1" applyAlignment="1">
      <alignment vertical="center"/>
    </xf>
    <xf numFmtId="0" fontId="67" fillId="0" borderId="0" xfId="0" applyFont="1" applyFill="1" applyAlignment="1">
      <alignment horizontal="right" vertical="center"/>
    </xf>
    <xf numFmtId="49" fontId="67" fillId="0" borderId="16" xfId="0" applyNumberFormat="1" applyFont="1" applyFill="1" applyBorder="1" applyAlignment="1">
      <alignment horizontal="center" vertical="center"/>
    </xf>
    <xf numFmtId="0" fontId="67" fillId="0" borderId="0" xfId="164" applyFont="1" applyFill="1" applyAlignment="1">
      <alignment vertical="center"/>
    </xf>
    <xf numFmtId="0" fontId="67" fillId="0" borderId="16" xfId="0" applyFont="1" applyFill="1" applyBorder="1" applyAlignment="1">
      <alignment horizontal="center" vertical="center"/>
    </xf>
    <xf numFmtId="14" fontId="67" fillId="0" borderId="16" xfId="0" applyNumberFormat="1" applyFont="1" applyFill="1" applyBorder="1" applyAlignment="1">
      <alignment horizontal="center" vertical="center"/>
    </xf>
    <xf numFmtId="0" fontId="67" fillId="0" borderId="0" xfId="0" applyFont="1" applyFill="1"/>
    <xf numFmtId="0" fontId="72" fillId="0" borderId="28" xfId="0" applyFont="1" applyFill="1" applyBorder="1" applyAlignment="1">
      <alignment horizontal="center" vertical="center"/>
    </xf>
    <xf numFmtId="0" fontId="72" fillId="0" borderId="10" xfId="0" applyFont="1" applyFill="1" applyBorder="1" applyAlignment="1">
      <alignment horizontal="center" vertical="center" wrapText="1"/>
    </xf>
    <xf numFmtId="0" fontId="67" fillId="0" borderId="28" xfId="0" applyFont="1" applyFill="1" applyBorder="1" applyAlignment="1">
      <alignment horizontal="center" vertical="center"/>
    </xf>
    <xf numFmtId="0" fontId="72" fillId="0" borderId="16" xfId="0" applyFont="1" applyFill="1" applyBorder="1" applyAlignment="1">
      <alignment horizontal="center" vertical="center"/>
    </xf>
    <xf numFmtId="3" fontId="67" fillId="0" borderId="16" xfId="0" applyNumberFormat="1" applyFont="1" applyFill="1" applyBorder="1"/>
    <xf numFmtId="3" fontId="67" fillId="0" borderId="16" xfId="0" applyNumberFormat="1" applyFont="1" applyFill="1" applyBorder="1" applyAlignment="1">
      <alignment horizontal="right" vertical="center"/>
    </xf>
    <xf numFmtId="3" fontId="67" fillId="0" borderId="16" xfId="0" applyNumberFormat="1" applyFont="1" applyFill="1" applyBorder="1" applyAlignment="1">
      <alignment horizontal="center"/>
    </xf>
    <xf numFmtId="3" fontId="72" fillId="0" borderId="16" xfId="0" applyNumberFormat="1" applyFont="1" applyFill="1" applyBorder="1" applyAlignment="1">
      <alignment horizontal="center" vertical="center"/>
    </xf>
    <xf numFmtId="0" fontId="67" fillId="0" borderId="16" xfId="0" applyFont="1" applyFill="1" applyBorder="1" applyAlignment="1">
      <alignment vertical="center" wrapText="1"/>
    </xf>
    <xf numFmtId="0" fontId="67" fillId="0" borderId="28" xfId="0" applyFont="1" applyFill="1" applyBorder="1" applyAlignment="1">
      <alignment vertical="center" wrapText="1"/>
    </xf>
    <xf numFmtId="0" fontId="72" fillId="0" borderId="16" xfId="0" applyFont="1" applyFill="1" applyBorder="1" applyAlignment="1">
      <alignment vertical="center" wrapText="1"/>
    </xf>
    <xf numFmtId="0" fontId="75" fillId="0" borderId="0" xfId="0" applyFont="1" applyFill="1"/>
    <xf numFmtId="0" fontId="72" fillId="0" borderId="28" xfId="0" applyFont="1" applyFill="1" applyBorder="1" applyAlignment="1">
      <alignment vertical="center" wrapText="1"/>
    </xf>
    <xf numFmtId="3" fontId="72" fillId="0" borderId="16" xfId="0" applyNumberFormat="1" applyFont="1" applyFill="1" applyBorder="1" applyAlignment="1">
      <alignment horizontal="right" vertical="center"/>
    </xf>
    <xf numFmtId="49" fontId="78" fillId="0" borderId="0" xfId="0" applyNumberFormat="1" applyFont="1" applyFill="1" applyAlignment="1">
      <alignment horizontal="left"/>
    </xf>
    <xf numFmtId="3" fontId="75" fillId="0" borderId="0" xfId="0" applyNumberFormat="1" applyFont="1" applyFill="1"/>
    <xf numFmtId="169" fontId="75" fillId="0" borderId="0" xfId="0" applyNumberFormat="1" applyFont="1" applyFill="1" applyAlignment="1">
      <alignment horizontal="right" vertical="center"/>
    </xf>
    <xf numFmtId="4" fontId="75" fillId="0" borderId="0" xfId="0" applyNumberFormat="1" applyFont="1" applyFill="1" applyAlignment="1">
      <alignment horizontal="right" vertical="center"/>
    </xf>
    <xf numFmtId="0" fontId="72" fillId="0" borderId="24" xfId="0" applyFont="1" applyFill="1" applyBorder="1" applyAlignment="1">
      <alignment horizontal="center" vertical="center" wrapText="1"/>
    </xf>
    <xf numFmtId="0" fontId="67" fillId="0" borderId="28" xfId="0" applyFont="1" applyFill="1" applyBorder="1" applyAlignment="1">
      <alignment horizontal="left" vertical="center" wrapText="1"/>
    </xf>
    <xf numFmtId="174" fontId="67" fillId="0" borderId="16" xfId="0" applyNumberFormat="1" applyFont="1" applyFill="1" applyBorder="1" applyAlignment="1">
      <alignment horizontal="right" vertical="center"/>
    </xf>
    <xf numFmtId="3" fontId="75" fillId="0" borderId="0" xfId="0" applyNumberFormat="1" applyFont="1" applyFill="1" applyAlignment="1">
      <alignment horizontal="center"/>
    </xf>
    <xf numFmtId="0" fontId="79" fillId="0" borderId="0" xfId="0" applyFont="1" applyFill="1"/>
    <xf numFmtId="0" fontId="72" fillId="0" borderId="0" xfId="0" applyFont="1" applyFill="1"/>
  </cellXfs>
  <cellStyles count="20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Euro" xfId="19" xr:uid="{00000000-0005-0000-0000-000012000000}"/>
    <cellStyle name="Акцент1" xfId="20" builtinId="29" customBuiltin="1"/>
    <cellStyle name="Акцент1 2" xfId="21" xr:uid="{00000000-0005-0000-0000-000014000000}"/>
    <cellStyle name="Акцент1 3" xfId="22" xr:uid="{00000000-0005-0000-0000-000015000000}"/>
    <cellStyle name="Акцент1 4" xfId="23" xr:uid="{00000000-0005-0000-0000-000016000000}"/>
    <cellStyle name="Акцент1 5" xfId="24" xr:uid="{00000000-0005-0000-0000-000017000000}"/>
    <cellStyle name="Акцент2" xfId="25" builtinId="33" customBuiltin="1"/>
    <cellStyle name="Акцент2 2" xfId="26" xr:uid="{00000000-0005-0000-0000-000019000000}"/>
    <cellStyle name="Акцент2 3" xfId="27" xr:uid="{00000000-0005-0000-0000-00001A000000}"/>
    <cellStyle name="Акцент2 4" xfId="28" xr:uid="{00000000-0005-0000-0000-00001B000000}"/>
    <cellStyle name="Акцент2 5" xfId="29" xr:uid="{00000000-0005-0000-0000-00001C000000}"/>
    <cellStyle name="Акцент3" xfId="30" builtinId="37" customBuiltin="1"/>
    <cellStyle name="Акцент3 2" xfId="31" xr:uid="{00000000-0005-0000-0000-00001E000000}"/>
    <cellStyle name="Акцент3 3" xfId="32" xr:uid="{00000000-0005-0000-0000-00001F000000}"/>
    <cellStyle name="Акцент3 4" xfId="33" xr:uid="{00000000-0005-0000-0000-000020000000}"/>
    <cellStyle name="Акцент3 5" xfId="34" xr:uid="{00000000-0005-0000-0000-000021000000}"/>
    <cellStyle name="Акцент4" xfId="35" builtinId="41" customBuiltin="1"/>
    <cellStyle name="Акцент4 2" xfId="36" xr:uid="{00000000-0005-0000-0000-000023000000}"/>
    <cellStyle name="Акцент4 3" xfId="37" xr:uid="{00000000-0005-0000-0000-000024000000}"/>
    <cellStyle name="Акцент4 4" xfId="38" xr:uid="{00000000-0005-0000-0000-000025000000}"/>
    <cellStyle name="Акцент4 5" xfId="39" xr:uid="{00000000-0005-0000-0000-000026000000}"/>
    <cellStyle name="Акцент5" xfId="40" builtinId="45" customBuiltin="1"/>
    <cellStyle name="Акцент5 2" xfId="41" xr:uid="{00000000-0005-0000-0000-000028000000}"/>
    <cellStyle name="Акцент5 3" xfId="42" xr:uid="{00000000-0005-0000-0000-000029000000}"/>
    <cellStyle name="Акцент5 4" xfId="43" xr:uid="{00000000-0005-0000-0000-00002A000000}"/>
    <cellStyle name="Акцент5 5" xfId="44" xr:uid="{00000000-0005-0000-0000-00002B000000}"/>
    <cellStyle name="Акцент6" xfId="45" builtinId="49" customBuiltin="1"/>
    <cellStyle name="Акцент6 2" xfId="46" xr:uid="{00000000-0005-0000-0000-00002D000000}"/>
    <cellStyle name="Акцент6 3" xfId="47" xr:uid="{00000000-0005-0000-0000-00002E000000}"/>
    <cellStyle name="Акцент6 4" xfId="48" xr:uid="{00000000-0005-0000-0000-00002F000000}"/>
    <cellStyle name="Акцент6 5" xfId="49" xr:uid="{00000000-0005-0000-0000-000030000000}"/>
    <cellStyle name="Ввод " xfId="50" builtinId="20" customBuiltin="1"/>
    <cellStyle name="Ввод  2" xfId="51" xr:uid="{00000000-0005-0000-0000-000032000000}"/>
    <cellStyle name="Ввод  3" xfId="52" xr:uid="{00000000-0005-0000-0000-000033000000}"/>
    <cellStyle name="Ввод  4" xfId="53" xr:uid="{00000000-0005-0000-0000-000034000000}"/>
    <cellStyle name="Ввод  5" xfId="54" xr:uid="{00000000-0005-0000-0000-000035000000}"/>
    <cellStyle name="Вывод" xfId="55" builtinId="21" customBuiltin="1"/>
    <cellStyle name="Вывод 2" xfId="56" xr:uid="{00000000-0005-0000-0000-000037000000}"/>
    <cellStyle name="Вывод 3" xfId="57" xr:uid="{00000000-0005-0000-0000-000038000000}"/>
    <cellStyle name="Вывод 4" xfId="58" xr:uid="{00000000-0005-0000-0000-000039000000}"/>
    <cellStyle name="Вывод 5" xfId="59" xr:uid="{00000000-0005-0000-0000-00003A000000}"/>
    <cellStyle name="Вычисление" xfId="60" builtinId="22" customBuiltin="1"/>
    <cellStyle name="Вычисление 2" xfId="61" xr:uid="{00000000-0005-0000-0000-00003C000000}"/>
    <cellStyle name="Вычисление 3" xfId="62" xr:uid="{00000000-0005-0000-0000-00003D000000}"/>
    <cellStyle name="Вычисление 4" xfId="63" xr:uid="{00000000-0005-0000-0000-00003E000000}"/>
    <cellStyle name="Вычисление 5" xfId="64" xr:uid="{00000000-0005-0000-0000-00003F000000}"/>
    <cellStyle name="Заголовок 1" xfId="65" builtinId="16" customBuiltin="1"/>
    <cellStyle name="Заголовок 1 2" xfId="66" xr:uid="{00000000-0005-0000-0000-000041000000}"/>
    <cellStyle name="Заголовок 1 3" xfId="67" xr:uid="{00000000-0005-0000-0000-000042000000}"/>
    <cellStyle name="Заголовок 1 4" xfId="68" xr:uid="{00000000-0005-0000-0000-000043000000}"/>
    <cellStyle name="Заголовок 1 5" xfId="69" xr:uid="{00000000-0005-0000-0000-000044000000}"/>
    <cellStyle name="Заголовок 2" xfId="70" builtinId="17" customBuiltin="1"/>
    <cellStyle name="Заголовок 2 2" xfId="71" xr:uid="{00000000-0005-0000-0000-000046000000}"/>
    <cellStyle name="Заголовок 2 3" xfId="72" xr:uid="{00000000-0005-0000-0000-000047000000}"/>
    <cellStyle name="Заголовок 2 4" xfId="73" xr:uid="{00000000-0005-0000-0000-000048000000}"/>
    <cellStyle name="Заголовок 2 5" xfId="74" xr:uid="{00000000-0005-0000-0000-000049000000}"/>
    <cellStyle name="Заголовок 3" xfId="75" builtinId="18" customBuiltin="1"/>
    <cellStyle name="Заголовок 3 2" xfId="76" xr:uid="{00000000-0005-0000-0000-00004B000000}"/>
    <cellStyle name="Заголовок 3 3" xfId="77" xr:uid="{00000000-0005-0000-0000-00004C000000}"/>
    <cellStyle name="Заголовок 3 4" xfId="78" xr:uid="{00000000-0005-0000-0000-00004D000000}"/>
    <cellStyle name="Заголовок 3 5" xfId="79" xr:uid="{00000000-0005-0000-0000-00004E000000}"/>
    <cellStyle name="Заголовок 4" xfId="80" builtinId="19" customBuiltin="1"/>
    <cellStyle name="Заголовок 4 2" xfId="81" xr:uid="{00000000-0005-0000-0000-000050000000}"/>
    <cellStyle name="Заголовок 4 3" xfId="82" xr:uid="{00000000-0005-0000-0000-000051000000}"/>
    <cellStyle name="Заголовок 4 4" xfId="83" xr:uid="{00000000-0005-0000-0000-000052000000}"/>
    <cellStyle name="Заголовок 4 5" xfId="84" xr:uid="{00000000-0005-0000-0000-000053000000}"/>
    <cellStyle name="Итог" xfId="85" builtinId="25" customBuiltin="1"/>
    <cellStyle name="Итог 2" xfId="86" xr:uid="{00000000-0005-0000-0000-000055000000}"/>
    <cellStyle name="Итог 3" xfId="87" xr:uid="{00000000-0005-0000-0000-000056000000}"/>
    <cellStyle name="Итог 4" xfId="88" xr:uid="{00000000-0005-0000-0000-000057000000}"/>
    <cellStyle name="Итог 5" xfId="89" xr:uid="{00000000-0005-0000-0000-000058000000}"/>
    <cellStyle name="Контрольная ячейка" xfId="90" builtinId="23" customBuiltin="1"/>
    <cellStyle name="Контрольная ячейка 2" xfId="91" xr:uid="{00000000-0005-0000-0000-00005A000000}"/>
    <cellStyle name="Контрольная ячейка 3" xfId="92" xr:uid="{00000000-0005-0000-0000-00005B000000}"/>
    <cellStyle name="Контрольная ячейка 4" xfId="93" xr:uid="{00000000-0005-0000-0000-00005C000000}"/>
    <cellStyle name="Контрольная ячейка 5" xfId="94" xr:uid="{00000000-0005-0000-0000-00005D000000}"/>
    <cellStyle name="Название" xfId="95" builtinId="15" customBuiltin="1"/>
    <cellStyle name="Название 2" xfId="96" xr:uid="{00000000-0005-0000-0000-00005F000000}"/>
    <cellStyle name="Название 3" xfId="97" xr:uid="{00000000-0005-0000-0000-000060000000}"/>
    <cellStyle name="Название 4" xfId="98" xr:uid="{00000000-0005-0000-0000-000061000000}"/>
    <cellStyle name="Название 5" xfId="99" xr:uid="{00000000-0005-0000-0000-000062000000}"/>
    <cellStyle name="Нейтральный" xfId="100" builtinId="28" customBuiltin="1"/>
    <cellStyle name="Нейтральный 2" xfId="101" xr:uid="{00000000-0005-0000-0000-000064000000}"/>
    <cellStyle name="Нейтральный 3" xfId="102" xr:uid="{00000000-0005-0000-0000-000065000000}"/>
    <cellStyle name="Нейтральный 4" xfId="103" xr:uid="{00000000-0005-0000-0000-000066000000}"/>
    <cellStyle name="Нейтральный 5" xfId="104" xr:uid="{00000000-0005-0000-0000-000067000000}"/>
    <cellStyle name="Обычный" xfId="0" builtinId="0"/>
    <cellStyle name="Обычный 10" xfId="105" xr:uid="{00000000-0005-0000-0000-000069000000}"/>
    <cellStyle name="Обычный 11" xfId="106" xr:uid="{00000000-0005-0000-0000-00006A000000}"/>
    <cellStyle name="Обычный 12" xfId="107" xr:uid="{00000000-0005-0000-0000-00006B000000}"/>
    <cellStyle name="Обычный 13" xfId="108" xr:uid="{00000000-0005-0000-0000-00006C000000}"/>
    <cellStyle name="Обычный 14" xfId="109" xr:uid="{00000000-0005-0000-0000-00006D000000}"/>
    <cellStyle name="Обычный 163 2 3 4" xfId="110" xr:uid="{00000000-0005-0000-0000-00006E000000}"/>
    <cellStyle name="Обычный 2" xfId="111" xr:uid="{00000000-0005-0000-0000-00006F000000}"/>
    <cellStyle name="Обычный 2 10" xfId="112" xr:uid="{00000000-0005-0000-0000-000070000000}"/>
    <cellStyle name="Обычный 2 11" xfId="113" xr:uid="{00000000-0005-0000-0000-000071000000}"/>
    <cellStyle name="Обычный 2 12" xfId="114" xr:uid="{00000000-0005-0000-0000-000072000000}"/>
    <cellStyle name="Обычный 2 13" xfId="115" xr:uid="{00000000-0005-0000-0000-000073000000}"/>
    <cellStyle name="Обычный 2 14" xfId="116" xr:uid="{00000000-0005-0000-0000-000074000000}"/>
    <cellStyle name="Обычный 2 2" xfId="117" xr:uid="{00000000-0005-0000-0000-000075000000}"/>
    <cellStyle name="Обычный 2 2 10" xfId="118" xr:uid="{00000000-0005-0000-0000-000076000000}"/>
    <cellStyle name="Обычный 2 2 11" xfId="119" xr:uid="{00000000-0005-0000-0000-000077000000}"/>
    <cellStyle name="Обычный 2 2 2" xfId="120" xr:uid="{00000000-0005-0000-0000-000078000000}"/>
    <cellStyle name="Обычный 2 2 3" xfId="121" xr:uid="{00000000-0005-0000-0000-000079000000}"/>
    <cellStyle name="Обычный 2 2 4" xfId="122" xr:uid="{00000000-0005-0000-0000-00007A000000}"/>
    <cellStyle name="Обычный 2 2 5" xfId="123" xr:uid="{00000000-0005-0000-0000-00007B000000}"/>
    <cellStyle name="Обычный 2 2 6" xfId="124" xr:uid="{00000000-0005-0000-0000-00007C000000}"/>
    <cellStyle name="Обычный 2 2 7" xfId="125" xr:uid="{00000000-0005-0000-0000-00007D000000}"/>
    <cellStyle name="Обычный 2 2 8" xfId="126" xr:uid="{00000000-0005-0000-0000-00007E000000}"/>
    <cellStyle name="Обычный 2 2 9" xfId="127" xr:uid="{00000000-0005-0000-0000-00007F000000}"/>
    <cellStyle name="Обычный 2 3" xfId="128" xr:uid="{00000000-0005-0000-0000-000080000000}"/>
    <cellStyle name="Обычный 2 4" xfId="129" xr:uid="{00000000-0005-0000-0000-000081000000}"/>
    <cellStyle name="Обычный 2 5" xfId="130" xr:uid="{00000000-0005-0000-0000-000082000000}"/>
    <cellStyle name="Обычный 2 6" xfId="131" xr:uid="{00000000-0005-0000-0000-000083000000}"/>
    <cellStyle name="Обычный 2 7" xfId="132" xr:uid="{00000000-0005-0000-0000-000084000000}"/>
    <cellStyle name="Обычный 2 8" xfId="133" xr:uid="{00000000-0005-0000-0000-000085000000}"/>
    <cellStyle name="Обычный 2 9" xfId="134" xr:uid="{00000000-0005-0000-0000-000086000000}"/>
    <cellStyle name="Обычный 2_0 1-2 Свод мавсум 2013 й хосил Хазарасп" xfId="135" xr:uid="{00000000-0005-0000-0000-000087000000}"/>
    <cellStyle name="Обычный 3" xfId="136" xr:uid="{00000000-0005-0000-0000-000088000000}"/>
    <cellStyle name="Обычный 3 10" xfId="137" xr:uid="{00000000-0005-0000-0000-000089000000}"/>
    <cellStyle name="Обычный 3 11" xfId="138" xr:uid="{00000000-0005-0000-0000-00008A000000}"/>
    <cellStyle name="Обычный 3 2" xfId="139" xr:uid="{00000000-0005-0000-0000-00008B000000}"/>
    <cellStyle name="Обычный 3 3" xfId="140" xr:uid="{00000000-0005-0000-0000-00008C000000}"/>
    <cellStyle name="Обычный 3 4" xfId="141" xr:uid="{00000000-0005-0000-0000-00008D000000}"/>
    <cellStyle name="Обычный 3 5" xfId="142" xr:uid="{00000000-0005-0000-0000-00008E000000}"/>
    <cellStyle name="Обычный 3 6" xfId="143" xr:uid="{00000000-0005-0000-0000-00008F000000}"/>
    <cellStyle name="Обычный 3 7" xfId="144" xr:uid="{00000000-0005-0000-0000-000090000000}"/>
    <cellStyle name="Обычный 3 8" xfId="145" xr:uid="{00000000-0005-0000-0000-000091000000}"/>
    <cellStyle name="Обычный 3 9" xfId="146" xr:uid="{00000000-0005-0000-0000-000092000000}"/>
    <cellStyle name="Обычный 3_0 1-2 Свод мавсум 2013 й хосил Хазарасп" xfId="147" xr:uid="{00000000-0005-0000-0000-000093000000}"/>
    <cellStyle name="Обычный 4" xfId="148" xr:uid="{00000000-0005-0000-0000-000094000000}"/>
    <cellStyle name="Обычный 4 10" xfId="149" xr:uid="{00000000-0005-0000-0000-000095000000}"/>
    <cellStyle name="Обычный 4 11" xfId="150" xr:uid="{00000000-0005-0000-0000-000096000000}"/>
    <cellStyle name="Обычный 4 2" xfId="151" xr:uid="{00000000-0005-0000-0000-000097000000}"/>
    <cellStyle name="Обычный 4 3" xfId="152" xr:uid="{00000000-0005-0000-0000-000098000000}"/>
    <cellStyle name="Обычный 4 4" xfId="153" xr:uid="{00000000-0005-0000-0000-000099000000}"/>
    <cellStyle name="Обычный 4 5" xfId="154" xr:uid="{00000000-0005-0000-0000-00009A000000}"/>
    <cellStyle name="Обычный 4 6" xfId="155" xr:uid="{00000000-0005-0000-0000-00009B000000}"/>
    <cellStyle name="Обычный 4 7" xfId="156" xr:uid="{00000000-0005-0000-0000-00009C000000}"/>
    <cellStyle name="Обычный 4 8" xfId="157" xr:uid="{00000000-0005-0000-0000-00009D000000}"/>
    <cellStyle name="Обычный 4 9" xfId="158" xr:uid="{00000000-0005-0000-0000-00009E000000}"/>
    <cellStyle name="Обычный 5" xfId="159" xr:uid="{00000000-0005-0000-0000-00009F000000}"/>
    <cellStyle name="Обычный 6" xfId="160" xr:uid="{00000000-0005-0000-0000-0000A0000000}"/>
    <cellStyle name="Обычный 7" xfId="161" xr:uid="{00000000-0005-0000-0000-0000A1000000}"/>
    <cellStyle name="Обычный 8" xfId="162" xr:uid="{00000000-0005-0000-0000-0000A2000000}"/>
    <cellStyle name="Обычный 9" xfId="163" xr:uid="{00000000-0005-0000-0000-0000A3000000}"/>
    <cellStyle name="Обычный_Лист1" xfId="164" xr:uid="{00000000-0005-0000-0000-0000A4000000}"/>
    <cellStyle name="Обычный_ресстер" xfId="165" xr:uid="{00000000-0005-0000-0000-0000A5000000}"/>
    <cellStyle name="Плохой" xfId="166" builtinId="27" customBuiltin="1"/>
    <cellStyle name="Плохой 2" xfId="167" xr:uid="{00000000-0005-0000-0000-0000A7000000}"/>
    <cellStyle name="Плохой 3" xfId="168" xr:uid="{00000000-0005-0000-0000-0000A8000000}"/>
    <cellStyle name="Плохой 4" xfId="169" xr:uid="{00000000-0005-0000-0000-0000A9000000}"/>
    <cellStyle name="Плохой 5" xfId="170" xr:uid="{00000000-0005-0000-0000-0000AA000000}"/>
    <cellStyle name="Пояснение" xfId="171" builtinId="53" customBuiltin="1"/>
    <cellStyle name="Пояснение 2" xfId="172" xr:uid="{00000000-0005-0000-0000-0000AC000000}"/>
    <cellStyle name="Пояснение 3" xfId="173" xr:uid="{00000000-0005-0000-0000-0000AD000000}"/>
    <cellStyle name="Пояснение 4" xfId="174" xr:uid="{00000000-0005-0000-0000-0000AE000000}"/>
    <cellStyle name="Пояснение 5" xfId="175" xr:uid="{00000000-0005-0000-0000-0000AF000000}"/>
    <cellStyle name="Примечание" xfId="176" builtinId="10" customBuiltin="1"/>
    <cellStyle name="Примечание 2" xfId="177" xr:uid="{00000000-0005-0000-0000-0000B1000000}"/>
    <cellStyle name="Примечание 3" xfId="178" xr:uid="{00000000-0005-0000-0000-0000B2000000}"/>
    <cellStyle name="Примечание 4" xfId="179" xr:uid="{00000000-0005-0000-0000-0000B3000000}"/>
    <cellStyle name="Примечание 5" xfId="180" xr:uid="{00000000-0005-0000-0000-0000B4000000}"/>
    <cellStyle name="Связанная ячейка" xfId="181" builtinId="24" customBuiltin="1"/>
    <cellStyle name="Связанная ячейка 2" xfId="182" xr:uid="{00000000-0005-0000-0000-0000B6000000}"/>
    <cellStyle name="Связанная ячейка 3" xfId="183" xr:uid="{00000000-0005-0000-0000-0000B7000000}"/>
    <cellStyle name="Связанная ячейка 4" xfId="184" xr:uid="{00000000-0005-0000-0000-0000B8000000}"/>
    <cellStyle name="Связанная ячейка 5" xfId="185" xr:uid="{00000000-0005-0000-0000-0000B9000000}"/>
    <cellStyle name="Стиль 1" xfId="186" xr:uid="{00000000-0005-0000-0000-0000BA000000}"/>
    <cellStyle name="Текст предупреждения" xfId="187" builtinId="11" customBuiltin="1"/>
    <cellStyle name="Текст предупреждения 2" xfId="188" xr:uid="{00000000-0005-0000-0000-0000BC000000}"/>
    <cellStyle name="Текст предупреждения 3" xfId="189" xr:uid="{00000000-0005-0000-0000-0000BD000000}"/>
    <cellStyle name="Текст предупреждения 4" xfId="190" xr:uid="{00000000-0005-0000-0000-0000BE000000}"/>
    <cellStyle name="Текст предупреждения 5" xfId="191" xr:uid="{00000000-0005-0000-0000-0000BF000000}"/>
    <cellStyle name="Тысячи [0]_Example " xfId="192" xr:uid="{00000000-0005-0000-0000-0000C0000000}"/>
    <cellStyle name="Тысячи_Example " xfId="193" xr:uid="{00000000-0005-0000-0000-0000C1000000}"/>
    <cellStyle name="Финансовый" xfId="194" builtinId="3"/>
    <cellStyle name="Финансовый 2" xfId="195" xr:uid="{00000000-0005-0000-0000-0000C3000000}"/>
    <cellStyle name="Финансовый 3" xfId="196" xr:uid="{00000000-0005-0000-0000-0000C4000000}"/>
    <cellStyle name="Финансовый 4" xfId="197" xr:uid="{00000000-0005-0000-0000-0000C5000000}"/>
    <cellStyle name="Хороший" xfId="198" builtinId="26" customBuiltin="1"/>
    <cellStyle name="Хороший 2" xfId="199" xr:uid="{00000000-0005-0000-0000-0000C7000000}"/>
    <cellStyle name="Хороший 3" xfId="200" xr:uid="{00000000-0005-0000-0000-0000C8000000}"/>
    <cellStyle name="Хороший 4" xfId="201" xr:uid="{00000000-0005-0000-0000-0000C9000000}"/>
    <cellStyle name="Хороший 5" xfId="202" xr:uid="{00000000-0005-0000-0000-0000C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rplata\&#1044;&#1086;&#1089;&#1090;&#1091;&#1087;\&#1052;&#1086;&#1080;%20&#1076;&#1086;&#1082;&#1091;&#1084;&#1077;&#1085;&#1090;&#1099;\Tohir%20aka\&#1060;&#1080;&#1085;%20&#1052;&#1080;&#1090;&#1072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f\&#1052;&#1086;&#1080;%20&#1076;&#1086;&#1082;&#1091;&#1084;&#1077;&#1085;&#1090;&#1099;\Tohir%20aka\&#1060;&#1080;&#1085;%20&#1052;&#1080;&#1090;&#1072;&#108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0;&#1085;&#1072;&#1085;&#1089;&#1086;&#1074;&#1099;&#1077;%20&#1096;&#1072;&#1073;&#1083;&#1086;&#1085;&#1099;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91;&#1093;&#1075;&#1072;&#1083;&#1090;&#1077;&#1088;&#1080;&#1103;%20&#1093;&#1080;&#1089;&#1086;&#1073;&#1086;&#1090;&#1083;&#1072;&#1088;&#1080;\&#1054;&#1090;&#1095;&#1105;&#1090;&#1075;&#1072;\2019%20&#1081;&#1080;&#1083;%203-&#1095;&#1086;&#1088;&#1072;&#1082;\2019%20&#1081;&#1080;&#1083;%203-&#1095;&#1086;&#1088;&#1072;&#108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91;&#1093;&#1075;&#1072;&#1083;&#1090;&#1077;&#1088;&#1080;&#1103;%20&#1093;&#1080;&#1089;&#1086;&#1073;&#1086;&#1090;&#1083;&#1072;&#1088;&#1080;\&#1054;&#1090;&#1095;&#1105;&#1090;&#1075;&#1072;\2017%20&#1081;&#1080;&#1083;%20&#1081;&#1080;&#1083;&#1083;&#1080;&#1082;%20&#1093;&#1080;&#1089;&#1086;&#1073;&#1086;&#1090;\2017%20&#1081;&#1080;&#1083;%20&#1075;&#1072;&#1076;&#1072;&#1074;&#1086;&#108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91;&#1093;&#1075;&#1072;&#1083;&#1090;&#1077;&#1088;&#1080;&#1103;%20&#1093;&#1080;&#1089;&#1086;&#1073;&#1086;&#1090;&#1083;&#1072;&#1088;&#1080;\&#1054;&#1090;&#1095;&#1105;&#1090;&#1075;&#1072;\2017%20&#1081;&#1080;&#1083;%202-&#1095;&#1086;&#1088;&#1072;&#1082;\2017%20&#1081;&#1080;&#1083;%202-&#1095;&#1086;&#1088;&#1072;&#108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91;&#1093;&#1075;&#1072;&#1083;&#1090;&#1077;&#1088;&#1080;&#1103;%20&#1093;&#1080;&#1089;&#1086;&#1073;&#1086;&#1090;&#1083;&#1072;&#1088;&#1080;\&#1054;&#1090;&#1095;&#1105;&#1090;&#1075;&#1072;\2017%20&#1081;&#1080;&#1083;%203-&#1095;&#1086;&#1088;&#1072;&#1082;\&#1041;&#1091;&#1093;.%20&#1093;&#1080;&#1089;&#1086;&#1073;&#1086;&#1090;%202013\&#1054;&#1090;&#1095;&#1105;&#1090;&#1075;&#1072;\2014%20&#1081;&#1080;&#1083;%20&#1081;&#1080;&#1083;&#1083;&#1080;&#1082;%20&#1093;&#1080;&#1089;&#1086;&#1073;&#1086;&#1090;\&#1057;&#1072;&#1084;&#1072;&#1088;&#1082;&#1072;&#1085;&#1076;%20&#1061;&#1040;&#1041;%202014%20%20&#1081;&#1080;&#1083;&#1083;&#1080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АКТИВ"/>
      <sheetName val="ПАССИВ"/>
      <sheetName val="Форма №2"/>
      <sheetName val="Платежи "/>
      <sheetName val="Форма №2а"/>
      <sheetName val="Форма №3"/>
      <sheetName val="Форма №4"/>
      <sheetName val="Валюта"/>
      <sheetName val="Форма №5"/>
      <sheetName val="Форма №6"/>
    </sheetNames>
    <sheetDataSet>
      <sheetData sheetId="0" refreshError="1"/>
      <sheetData sheetId="1"/>
      <sheetData sheetId="2"/>
      <sheetData sheetId="3"/>
      <sheetData sheetId="4"/>
      <sheetData sheetId="5">
        <row r="2">
          <cell r="A2" t="str">
            <v>СПРАВКА О ДЕБИТОРСКОЙ И КРЕДИТОРСКОЙ ЗАДОЛЖЕННОСТЯХ</v>
          </cell>
        </row>
        <row r="4">
          <cell r="C4" t="str">
            <v>ИНН</v>
          </cell>
        </row>
        <row r="6">
          <cell r="C6" t="str">
            <v>3</v>
          </cell>
        </row>
      </sheetData>
      <sheetData sheetId="6"/>
      <sheetData sheetId="7"/>
      <sheetData sheetId="8"/>
      <sheetData sheetId="9" refreshError="1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АКТИВ"/>
      <sheetName val="ПАССИВ"/>
      <sheetName val="Форма №2"/>
      <sheetName val="Платежи "/>
      <sheetName val="Форма №2а"/>
      <sheetName val="Форма №3"/>
      <sheetName val="Форма №4"/>
      <sheetName val="Валюта"/>
      <sheetName val="Форма №5"/>
      <sheetName val="Форма №6"/>
    </sheetNames>
    <sheetDataSet>
      <sheetData sheetId="0" refreshError="1"/>
      <sheetData sheetId="1"/>
      <sheetData sheetId="2"/>
      <sheetData sheetId="3"/>
      <sheetData sheetId="4"/>
      <sheetData sheetId="5">
        <row r="2">
          <cell r="A2" t="str">
            <v>СПРАВКА О ДЕБИТОРСКОЙ И КРЕДИТОРСКОЙ ЗАДОЛЖЕННОСТЯХ</v>
          </cell>
        </row>
        <row r="4">
          <cell r="C4" t="str">
            <v>ИНН</v>
          </cell>
        </row>
        <row r="6">
          <cell r="C6" t="str">
            <v>3</v>
          </cell>
        </row>
      </sheetData>
      <sheetData sheetId="6"/>
      <sheetData sheetId="7"/>
      <sheetData sheetId="8"/>
      <sheetData sheetId="9" refreshError="1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андировка"/>
      <sheetName val="Авансовый отчет"/>
      <sheetName val="Платежное поручение"/>
      <sheetName val="Счет-Фактура"/>
      <sheetName val="Накладная"/>
      <sheetName val="Доверенность"/>
      <sheetName val="Расходный ордер"/>
      <sheetName val="Приходный ордер"/>
      <sheetName val="Платежка за телефон"/>
      <sheetName val="Платежка за электроэнерги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Бух баланс"/>
      <sheetName val="Расш"/>
      <sheetName val="Мол нат"/>
      <sheetName val="Дт-Кт."/>
      <sheetName val="2-А деб кред"/>
      <sheetName val="Мол натга илова"/>
      <sheetName val="Обратка"/>
      <sheetName val="26 смета янги"/>
      <sheetName val="1 тонн"/>
      <sheetName val="Хлоппродук"/>
      <sheetName val="25 АПК"/>
      <sheetName val="Товар продукц"/>
      <sheetName val="Баланс продукции"/>
      <sheetName val="73-ХЛ"/>
      <sheetName val="Отклон"/>
      <sheetName val="Вспом-1"/>
      <sheetName val="Вспом-2"/>
      <sheetName val="Вспом-1 Ур"/>
      <sheetName val="Вспом-2 Ур"/>
      <sheetName val="Тех экон пок"/>
      <sheetName val="тола бал"/>
      <sheetName val="линт бал."/>
      <sheetName val="улбк бал."/>
      <sheetName val="пух бал."/>
      <sheetName val="техчигит бал"/>
      <sheetName val="уругл бал"/>
      <sheetName val="уруг олди-берди"/>
      <sheetName val="уруг ху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1">
          <cell r="H21">
            <v>1005.587</v>
          </cell>
        </row>
        <row r="22">
          <cell r="H22">
            <v>154.92400000000001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Бух баланс"/>
      <sheetName val="Расш"/>
      <sheetName val="Мол нат"/>
      <sheetName val="Дт-Кт."/>
      <sheetName val="2-А деб кред"/>
      <sheetName val="Мол натга илова"/>
      <sheetName val="хус капитал"/>
      <sheetName val="пул окими"/>
      <sheetName val="Ас.вос.хисоботи"/>
      <sheetName val="Тех экон пок"/>
      <sheetName val="Обратка"/>
      <sheetName val="26 смета янги"/>
      <sheetName val="1 тонн"/>
      <sheetName val="Хлоппродук"/>
      <sheetName val="25 АПК"/>
      <sheetName val="Товар продукц"/>
      <sheetName val="Баланс продукции"/>
      <sheetName val="73-ХЛ"/>
      <sheetName val="Отклон"/>
      <sheetName val="Вспом-1"/>
      <sheetName val="Вспом-2"/>
      <sheetName val="Вспом-1 Ур"/>
      <sheetName val="Вспом-2 Ур"/>
      <sheetName val="тола бал"/>
      <sheetName val="линт бал."/>
      <sheetName val="улбк бал."/>
      <sheetName val="пух бал."/>
      <sheetName val="техчигит бал"/>
      <sheetName val="уругл бал"/>
      <sheetName val="уруг олди-берд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6">
          <cell r="B16">
            <v>0</v>
          </cell>
          <cell r="C1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Бух баланс"/>
      <sheetName val="Расш"/>
      <sheetName val="Мол нат "/>
      <sheetName val="Дт-Кт."/>
      <sheetName val="2-А деб кред"/>
      <sheetName val="Мол натга илова"/>
      <sheetName val="Тех экон пок"/>
      <sheetName val="Обратка"/>
      <sheetName val="26 смета янги"/>
      <sheetName val="1 тонн"/>
      <sheetName val="Хлоппродук"/>
      <sheetName val="25 АПК"/>
      <sheetName val="Товар продукц"/>
      <sheetName val="73-ХЛ"/>
      <sheetName val="Отклон"/>
      <sheetName val="Вспом-1"/>
      <sheetName val="Вспом-2"/>
      <sheetName val="Вспом-1 Ур"/>
      <sheetName val="Вспом-2 Ур"/>
      <sheetName val="тола бал"/>
      <sheetName val="линт бал."/>
      <sheetName val="улбк бал."/>
      <sheetName val="пух бал."/>
      <sheetName val="техчигит бал"/>
      <sheetName val="уругл бал"/>
      <sheetName val="уруг олди-берд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Сам."/>
      <sheetName val="свод"/>
      <sheetName val="Диаграмма1"/>
      <sheetName val="Бух баланс"/>
      <sheetName val="Расш"/>
      <sheetName val="2-А деб кред"/>
      <sheetName val="Мол нат "/>
      <sheetName val="Мол натга илова"/>
      <sheetName val="хус капитал"/>
      <sheetName val="пул окими"/>
      <sheetName val="мол нат илова"/>
      <sheetName val="солик ва ажратма"/>
      <sheetName val="1 % лик реконст"/>
      <sheetName val="Обратка"/>
      <sheetName val="Тех экон пок"/>
      <sheetName val="Асос восит"/>
      <sheetName val="Асос восит (2)"/>
      <sheetName val="Асос восит (3)"/>
      <sheetName val="Тола(Урта)"/>
      <sheetName val="тола свод"/>
      <sheetName val="Линт бал"/>
      <sheetName val="линт свод"/>
      <sheetName val="Улюк бал"/>
      <sheetName val="улбк свод"/>
      <sheetName val="Пух бал"/>
      <sheetName val="пух свод"/>
      <sheetName val="Тех чигит"/>
      <sheetName val="техчигит свод"/>
      <sheetName val="Уруг чигит"/>
      <sheetName val="уругл свод"/>
      <sheetName val="уруглик вил ичи"/>
      <sheetName val="уруглик"/>
      <sheetName val="уруглик бошка вил кирим"/>
      <sheetName val="уруглик бошка вил чикими"/>
      <sheetName val="фермерлар реестри"/>
      <sheetName val="СПС ва урада чириди"/>
      <sheetName val="Хлоппродук"/>
      <sheetName val="МЖК"/>
      <sheetName val="25 АПК"/>
      <sheetName val="25 АПК бог"/>
      <sheetName val="Вспом-1"/>
      <sheetName val="Вспом-2"/>
      <sheetName val="Вспом-1 урожайга"/>
      <sheetName val="Вспом-2 урожайга "/>
      <sheetName val="73-ХЛ"/>
      <sheetName val="26 смета янги"/>
      <sheetName val="1 тонн"/>
      <sheetName val="5-С без"/>
      <sheetName val="Товар продукц"/>
      <sheetName val=" баланс хп урожай сен дек"/>
      <sheetName val="Отклон"/>
      <sheetName val=" баланс хп 2014 год"/>
      <sheetName val="26 смета"/>
      <sheetName val="Хишен"/>
      <sheetName val="остатка"/>
      <sheetName val="внутр дебитор кредитор"/>
      <sheetName val="камчиликлар"/>
      <sheetName val="Лист1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5">
          <cell r="DH105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"/>
  <sheetViews>
    <sheetView showGridLines="0" showRowColHeaders="0" showZeros="0" showOutlineSymbols="0" topLeftCell="B14597" zoomScaleSheetLayoutView="4"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20"/>
  <dimension ref="A2:P35"/>
  <sheetViews>
    <sheetView zoomScale="90" workbookViewId="0"/>
  </sheetViews>
  <sheetFormatPr defaultColWidth="9.109375" defaultRowHeight="13.2"/>
  <cols>
    <col min="1" max="1" width="18.33203125" style="39" customWidth="1"/>
    <col min="2" max="3" width="9.33203125" style="68" bestFit="1" customWidth="1"/>
    <col min="4" max="4" width="10.6640625" style="68" customWidth="1"/>
    <col min="5" max="5" width="11.5546875" style="68" customWidth="1"/>
    <col min="6" max="6" width="11.33203125" style="68" customWidth="1"/>
    <col min="7" max="7" width="12.6640625" style="68" customWidth="1"/>
    <col min="8" max="8" width="14.109375" style="68" customWidth="1"/>
    <col min="9" max="9" width="12.44140625" style="39" customWidth="1"/>
    <col min="10" max="10" width="16.33203125" style="39" customWidth="1"/>
    <col min="11" max="11" width="13.44140625" style="39" customWidth="1"/>
    <col min="12" max="12" width="9.109375" style="39"/>
    <col min="13" max="16" width="11.6640625" style="39" hidden="1" customWidth="1"/>
    <col min="17" max="16384" width="9.109375" style="39"/>
  </cols>
  <sheetData>
    <row r="2" spans="1:16" ht="15.6">
      <c r="A2" s="316" t="s">
        <v>660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</row>
    <row r="3" spans="1:16" ht="15.6">
      <c r="A3" s="316" t="s">
        <v>444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</row>
    <row r="4" spans="1:16" ht="15.6">
      <c r="A4" s="316" t="s">
        <v>108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</row>
    <row r="5" spans="1:16">
      <c r="D5" s="113"/>
      <c r="E5" s="113"/>
      <c r="F5" s="113"/>
      <c r="G5" s="113"/>
      <c r="I5" s="39" t="s">
        <v>587</v>
      </c>
    </row>
    <row r="6" spans="1:16">
      <c r="A6" s="114" t="s">
        <v>421</v>
      </c>
      <c r="B6" s="115" t="s">
        <v>340</v>
      </c>
      <c r="C6" s="116"/>
      <c r="D6" s="115" t="s">
        <v>575</v>
      </c>
      <c r="E6" s="116"/>
      <c r="F6" s="115" t="s">
        <v>236</v>
      </c>
      <c r="G6" s="117"/>
      <c r="H6" s="116"/>
      <c r="I6" s="118" t="s">
        <v>237</v>
      </c>
      <c r="J6" s="119"/>
      <c r="K6" s="120"/>
    </row>
    <row r="7" spans="1:16">
      <c r="A7" s="121" t="s">
        <v>537</v>
      </c>
      <c r="B7" s="122" t="s">
        <v>351</v>
      </c>
      <c r="C7" s="123"/>
      <c r="D7" s="122" t="s">
        <v>416</v>
      </c>
      <c r="E7" s="123"/>
      <c r="F7" s="122" t="s">
        <v>417</v>
      </c>
      <c r="G7" s="124"/>
      <c r="H7" s="123"/>
      <c r="I7" s="125" t="s">
        <v>571</v>
      </c>
      <c r="J7" s="126"/>
      <c r="K7" s="127"/>
    </row>
    <row r="8" spans="1:16">
      <c r="A8" s="128" t="s">
        <v>572</v>
      </c>
      <c r="B8" s="129"/>
      <c r="C8" s="129"/>
      <c r="D8" s="129"/>
      <c r="E8" s="129"/>
      <c r="F8" s="129" t="s">
        <v>259</v>
      </c>
      <c r="G8" s="129" t="s">
        <v>260</v>
      </c>
      <c r="H8" s="129" t="s">
        <v>327</v>
      </c>
      <c r="I8" s="114" t="s">
        <v>259</v>
      </c>
      <c r="J8" s="114" t="s">
        <v>260</v>
      </c>
      <c r="K8" s="114" t="s">
        <v>327</v>
      </c>
    </row>
    <row r="9" spans="1:16">
      <c r="A9" s="130"/>
      <c r="B9" s="131" t="s">
        <v>310</v>
      </c>
      <c r="C9" s="131" t="s">
        <v>311</v>
      </c>
      <c r="D9" s="131" t="s">
        <v>310</v>
      </c>
      <c r="E9" s="131" t="s">
        <v>311</v>
      </c>
      <c r="F9" s="131" t="s">
        <v>312</v>
      </c>
      <c r="G9" s="131" t="s">
        <v>389</v>
      </c>
      <c r="H9" s="131"/>
      <c r="I9" s="128" t="s">
        <v>312</v>
      </c>
      <c r="J9" s="128" t="s">
        <v>389</v>
      </c>
      <c r="K9" s="128"/>
    </row>
    <row r="10" spans="1:16" ht="18.600000000000001" customHeight="1">
      <c r="A10" s="132" t="s">
        <v>388</v>
      </c>
      <c r="B10" s="188" t="e">
        <f>'Баланс продукции'!#REF!</f>
        <v>#REF!</v>
      </c>
      <c r="C10" s="188" t="e">
        <f>'Баланс продукции'!#REF!</f>
        <v>#REF!</v>
      </c>
      <c r="D10" s="188" t="e">
        <f>ROUND(E10*108%,0)</f>
        <v>#REF!</v>
      </c>
      <c r="E10" s="188" t="e">
        <f>ROUND(F10*108%,0)</f>
        <v>#REF!</v>
      </c>
      <c r="F10" s="188" t="e">
        <f>ROUND(G10*108%,0)</f>
        <v>#REF!</v>
      </c>
      <c r="G10" s="188" t="e">
        <f>ROUND(H10*102%,0)</f>
        <v>#REF!</v>
      </c>
      <c r="H10" s="44" t="e">
        <f>#REF!</f>
        <v>#REF!</v>
      </c>
      <c r="I10" s="133" t="e">
        <f t="shared" ref="I10:I25" si="0">F10*100/D10</f>
        <v>#REF!</v>
      </c>
      <c r="J10" s="133" t="e">
        <f t="shared" ref="J10:J25" si="1">G10*100/E10</f>
        <v>#REF!</v>
      </c>
      <c r="K10" s="133" t="e">
        <f t="shared" ref="K10:K25" si="2">H10*100/E10</f>
        <v>#REF!</v>
      </c>
      <c r="M10" s="101" t="e">
        <f>ROUND(D10,0)</f>
        <v>#REF!</v>
      </c>
      <c r="N10" s="101" t="e">
        <f t="shared" ref="N10:P14" si="3">ROUND(E10,0)</f>
        <v>#REF!</v>
      </c>
      <c r="O10" s="101" t="e">
        <f t="shared" si="3"/>
        <v>#REF!</v>
      </c>
      <c r="P10" s="101" t="e">
        <f t="shared" si="3"/>
        <v>#REF!</v>
      </c>
    </row>
    <row r="11" spans="1:16" ht="18.600000000000001" customHeight="1">
      <c r="A11" s="132" t="s">
        <v>437</v>
      </c>
      <c r="B11" s="188"/>
      <c r="C11" s="188"/>
      <c r="D11" s="188"/>
      <c r="E11" s="188"/>
      <c r="F11" s="188"/>
      <c r="G11" s="188"/>
      <c r="H11" s="188"/>
      <c r="I11" s="133" t="e">
        <f t="shared" si="0"/>
        <v>#DIV/0!</v>
      </c>
      <c r="J11" s="133" t="e">
        <f>G11*100/E11</f>
        <v>#DIV/0!</v>
      </c>
      <c r="K11" s="133" t="e">
        <f t="shared" si="2"/>
        <v>#DIV/0!</v>
      </c>
      <c r="M11" s="101">
        <f>ROUND(D11,0)</f>
        <v>0</v>
      </c>
      <c r="N11" s="101">
        <f t="shared" si="3"/>
        <v>0</v>
      </c>
      <c r="O11" s="101">
        <f t="shared" si="3"/>
        <v>0</v>
      </c>
      <c r="P11" s="101">
        <f t="shared" si="3"/>
        <v>0</v>
      </c>
    </row>
    <row r="12" spans="1:16" ht="18.600000000000001" customHeight="1">
      <c r="A12" s="132" t="s">
        <v>438</v>
      </c>
      <c r="B12" s="188"/>
      <c r="C12" s="188"/>
      <c r="D12" s="188"/>
      <c r="E12" s="188"/>
      <c r="F12" s="188"/>
      <c r="G12" s="188"/>
      <c r="H12" s="188"/>
      <c r="I12" s="133" t="e">
        <f t="shared" si="0"/>
        <v>#DIV/0!</v>
      </c>
      <c r="J12" s="133" t="e">
        <f t="shared" si="1"/>
        <v>#DIV/0!</v>
      </c>
      <c r="K12" s="133" t="e">
        <f t="shared" si="2"/>
        <v>#DIV/0!</v>
      </c>
      <c r="M12" s="101">
        <f>ROUND(D12,0)</f>
        <v>0</v>
      </c>
      <c r="N12" s="101">
        <f t="shared" si="3"/>
        <v>0</v>
      </c>
      <c r="O12" s="101">
        <f t="shared" si="3"/>
        <v>0</v>
      </c>
      <c r="P12" s="101">
        <f t="shared" si="3"/>
        <v>0</v>
      </c>
    </row>
    <row r="13" spans="1:16" ht="18.600000000000001" customHeight="1">
      <c r="A13" s="132" t="s">
        <v>381</v>
      </c>
      <c r="B13" s="188"/>
      <c r="C13" s="188"/>
      <c r="D13" s="188"/>
      <c r="E13" s="188"/>
      <c r="F13" s="188"/>
      <c r="G13" s="188"/>
      <c r="H13" s="188"/>
      <c r="I13" s="133" t="e">
        <f t="shared" si="0"/>
        <v>#DIV/0!</v>
      </c>
      <c r="J13" s="133" t="e">
        <f t="shared" si="1"/>
        <v>#DIV/0!</v>
      </c>
      <c r="K13" s="133" t="e">
        <f t="shared" si="2"/>
        <v>#DIV/0!</v>
      </c>
      <c r="M13" s="101">
        <f>ROUND(D13,0)</f>
        <v>0</v>
      </c>
      <c r="N13" s="101">
        <f t="shared" si="3"/>
        <v>0</v>
      </c>
      <c r="O13" s="101">
        <f t="shared" si="3"/>
        <v>0</v>
      </c>
      <c r="P13" s="101">
        <f t="shared" si="3"/>
        <v>0</v>
      </c>
    </row>
    <row r="14" spans="1:16" ht="18.600000000000001" customHeight="1">
      <c r="A14" s="132" t="s">
        <v>382</v>
      </c>
      <c r="B14" s="188"/>
      <c r="C14" s="188"/>
      <c r="D14" s="188"/>
      <c r="E14" s="188"/>
      <c r="F14" s="188"/>
      <c r="G14" s="188"/>
      <c r="H14" s="188"/>
      <c r="I14" s="133" t="e">
        <f t="shared" si="0"/>
        <v>#DIV/0!</v>
      </c>
      <c r="J14" s="133" t="e">
        <f t="shared" si="1"/>
        <v>#DIV/0!</v>
      </c>
      <c r="K14" s="133" t="e">
        <f t="shared" si="2"/>
        <v>#DIV/0!</v>
      </c>
      <c r="M14" s="101">
        <f>ROUND(D14,0)</f>
        <v>0</v>
      </c>
      <c r="N14" s="101">
        <f t="shared" si="3"/>
        <v>0</v>
      </c>
      <c r="O14" s="101">
        <f t="shared" si="3"/>
        <v>0</v>
      </c>
      <c r="P14" s="101">
        <f t="shared" si="3"/>
        <v>0</v>
      </c>
    </row>
    <row r="15" spans="1:16" s="9" customFormat="1" ht="18.600000000000001" customHeight="1">
      <c r="A15" s="69" t="s">
        <v>650</v>
      </c>
      <c r="B15" s="52" t="e">
        <f>SUM(B10:B14)</f>
        <v>#REF!</v>
      </c>
      <c r="C15" s="52" t="e">
        <f>SUM(C10:C14)</f>
        <v>#REF!</v>
      </c>
      <c r="D15" s="52" t="e">
        <f>SUM(D10:D14)</f>
        <v>#REF!</v>
      </c>
      <c r="E15" s="52" t="e">
        <f>SUM(E10:E14)</f>
        <v>#REF!</v>
      </c>
      <c r="F15" s="52" t="e">
        <f>SUM(F10:F14)</f>
        <v>#REF!</v>
      </c>
      <c r="G15" s="52" t="e">
        <f>G10+G11+G12+G13+G14</f>
        <v>#REF!</v>
      </c>
      <c r="H15" s="52" t="e">
        <f>H10+H11+H12+H13+H14</f>
        <v>#REF!</v>
      </c>
      <c r="I15" s="111" t="e">
        <f>F15*100/D15</f>
        <v>#REF!</v>
      </c>
      <c r="J15" s="111" t="e">
        <f t="shared" si="1"/>
        <v>#REF!</v>
      </c>
      <c r="K15" s="111" t="e">
        <f t="shared" si="2"/>
        <v>#REF!</v>
      </c>
    </row>
    <row r="16" spans="1:16" ht="18.600000000000001" customHeight="1">
      <c r="A16" s="130" t="s">
        <v>538</v>
      </c>
      <c r="B16" s="188">
        <f>'Вспом-1'!B16+'[5]Вспом-1 Ур'!B16</f>
        <v>0</v>
      </c>
      <c r="C16" s="188">
        <f>'Вспом-1'!C16+'[5]Вспом-1 Ур'!C16</f>
        <v>0</v>
      </c>
      <c r="D16" s="44" t="e">
        <f>E16</f>
        <v>#REF!</v>
      </c>
      <c r="E16" s="44" t="e">
        <f>F16</f>
        <v>#REF!</v>
      </c>
      <c r="F16" s="44" t="e">
        <f>G16</f>
        <v>#REF!</v>
      </c>
      <c r="G16" s="44" t="e">
        <f>H16</f>
        <v>#REF!</v>
      </c>
      <c r="H16" s="188" t="e">
        <f>#REF!</f>
        <v>#REF!</v>
      </c>
      <c r="I16" s="133" t="e">
        <f t="shared" si="0"/>
        <v>#REF!</v>
      </c>
      <c r="J16" s="133" t="e">
        <f t="shared" si="1"/>
        <v>#REF!</v>
      </c>
      <c r="K16" s="133" t="e">
        <f t="shared" si="2"/>
        <v>#REF!</v>
      </c>
      <c r="M16" s="68"/>
    </row>
    <row r="17" spans="1:11" ht="18.600000000000001" customHeight="1">
      <c r="A17" s="134" t="s">
        <v>209</v>
      </c>
      <c r="B17" s="188"/>
      <c r="C17" s="188"/>
      <c r="D17" s="188"/>
      <c r="E17" s="188"/>
      <c r="F17" s="188"/>
      <c r="G17" s="188"/>
      <c r="H17" s="188"/>
      <c r="I17" s="133" t="e">
        <f t="shared" si="0"/>
        <v>#DIV/0!</v>
      </c>
      <c r="J17" s="133" t="e">
        <f t="shared" si="1"/>
        <v>#DIV/0!</v>
      </c>
      <c r="K17" s="133" t="e">
        <f t="shared" si="2"/>
        <v>#DIV/0!</v>
      </c>
    </row>
    <row r="18" spans="1:11" ht="18.600000000000001" customHeight="1">
      <c r="A18" s="130" t="s">
        <v>673</v>
      </c>
      <c r="B18" s="188">
        <f>SUM(B16:B17)</f>
        <v>0</v>
      </c>
      <c r="C18" s="188">
        <f t="shared" ref="C18:H18" si="4">SUM(C16:C17)</f>
        <v>0</v>
      </c>
      <c r="D18" s="188" t="e">
        <f t="shared" si="4"/>
        <v>#REF!</v>
      </c>
      <c r="E18" s="188" t="e">
        <f t="shared" si="4"/>
        <v>#REF!</v>
      </c>
      <c r="F18" s="188" t="e">
        <f t="shared" si="4"/>
        <v>#REF!</v>
      </c>
      <c r="G18" s="188" t="e">
        <f t="shared" si="4"/>
        <v>#REF!</v>
      </c>
      <c r="H18" s="188" t="e">
        <f t="shared" si="4"/>
        <v>#REF!</v>
      </c>
      <c r="I18" s="133" t="e">
        <f t="shared" si="0"/>
        <v>#REF!</v>
      </c>
      <c r="J18" s="133" t="e">
        <f t="shared" si="1"/>
        <v>#REF!</v>
      </c>
      <c r="K18" s="133" t="e">
        <f t="shared" si="2"/>
        <v>#REF!</v>
      </c>
    </row>
    <row r="19" spans="1:11" ht="18.600000000000001" customHeight="1">
      <c r="A19" s="130" t="s">
        <v>616</v>
      </c>
      <c r="B19" s="131"/>
      <c r="C19" s="131">
        <f>'Вспом-1'!C19-'[6]Вспом-1'!C19</f>
        <v>0</v>
      </c>
      <c r="D19" s="131" t="e">
        <f>'Вспом-1'!D19-'[6]Вспом-1'!D19</f>
        <v>#REF!</v>
      </c>
      <c r="E19" s="131" t="e">
        <f>'Вспом-1'!E19-'[6]Вспом-1'!E19</f>
        <v>#REF!</v>
      </c>
      <c r="F19" s="131" t="e">
        <f>'Вспом-1'!F19-'[6]Вспом-1'!F19</f>
        <v>#REF!</v>
      </c>
      <c r="G19" s="131" t="e">
        <f>'Вспом-1'!G19-'[6]Вспом-1'!G19</f>
        <v>#REF!</v>
      </c>
      <c r="H19" s="131" t="e">
        <f>'Вспом-1'!H19-'[6]Вспом-1'!H19</f>
        <v>#REF!</v>
      </c>
      <c r="I19" s="133" t="e">
        <f t="shared" si="0"/>
        <v>#REF!</v>
      </c>
      <c r="J19" s="133" t="e">
        <f t="shared" si="1"/>
        <v>#REF!</v>
      </c>
      <c r="K19" s="133" t="e">
        <f t="shared" si="2"/>
        <v>#REF!</v>
      </c>
    </row>
    <row r="20" spans="1:11" ht="18.600000000000001" customHeight="1">
      <c r="A20" s="134" t="s">
        <v>324</v>
      </c>
      <c r="B20" s="131"/>
      <c r="C20" s="131"/>
      <c r="D20" s="131"/>
      <c r="E20" s="70"/>
      <c r="F20" s="70"/>
      <c r="G20" s="70"/>
      <c r="H20" s="70"/>
      <c r="I20" s="133" t="e">
        <f t="shared" si="0"/>
        <v>#DIV/0!</v>
      </c>
      <c r="J20" s="133" t="e">
        <f t="shared" si="1"/>
        <v>#DIV/0!</v>
      </c>
      <c r="K20" s="133" t="e">
        <f t="shared" si="2"/>
        <v>#DIV/0!</v>
      </c>
    </row>
    <row r="21" spans="1:11" ht="18.600000000000001" customHeight="1">
      <c r="A21" s="134" t="s">
        <v>355</v>
      </c>
      <c r="B21" s="131"/>
      <c r="C21" s="131"/>
      <c r="D21" s="131"/>
      <c r="E21" s="70"/>
      <c r="F21" s="70"/>
      <c r="G21" s="70"/>
      <c r="H21" s="70"/>
      <c r="I21" s="133" t="e">
        <f t="shared" si="0"/>
        <v>#DIV/0!</v>
      </c>
      <c r="J21" s="133" t="e">
        <f t="shared" si="1"/>
        <v>#DIV/0!</v>
      </c>
      <c r="K21" s="133" t="e">
        <f t="shared" si="2"/>
        <v>#DIV/0!</v>
      </c>
    </row>
    <row r="22" spans="1:11" ht="18.600000000000001" customHeight="1">
      <c r="A22" s="132" t="s">
        <v>350</v>
      </c>
      <c r="B22" s="131"/>
      <c r="C22" s="131"/>
      <c r="D22" s="131"/>
      <c r="E22" s="131"/>
      <c r="F22" s="131"/>
      <c r="G22" s="131"/>
      <c r="H22" s="131"/>
      <c r="I22" s="133" t="e">
        <f t="shared" si="0"/>
        <v>#DIV/0!</v>
      </c>
      <c r="J22" s="133" t="e">
        <f t="shared" si="1"/>
        <v>#DIV/0!</v>
      </c>
      <c r="K22" s="133" t="e">
        <f t="shared" si="2"/>
        <v>#DIV/0!</v>
      </c>
    </row>
    <row r="23" spans="1:11" ht="18.600000000000001" customHeight="1">
      <c r="A23" s="132" t="s">
        <v>325</v>
      </c>
      <c r="B23" s="70">
        <f t="shared" ref="B23:H23" si="5">B19+B20+B21+B22</f>
        <v>0</v>
      </c>
      <c r="C23" s="70">
        <f t="shared" si="5"/>
        <v>0</v>
      </c>
      <c r="D23" s="70" t="e">
        <f t="shared" si="5"/>
        <v>#REF!</v>
      </c>
      <c r="E23" s="70" t="e">
        <f t="shared" si="5"/>
        <v>#REF!</v>
      </c>
      <c r="F23" s="70" t="e">
        <f t="shared" si="5"/>
        <v>#REF!</v>
      </c>
      <c r="G23" s="70" t="e">
        <f t="shared" si="5"/>
        <v>#REF!</v>
      </c>
      <c r="H23" s="70" t="e">
        <f t="shared" si="5"/>
        <v>#REF!</v>
      </c>
      <c r="I23" s="133" t="e">
        <f t="shared" si="0"/>
        <v>#REF!</v>
      </c>
      <c r="J23" s="133" t="e">
        <f t="shared" si="1"/>
        <v>#REF!</v>
      </c>
      <c r="K23" s="133" t="e">
        <f t="shared" si="2"/>
        <v>#REF!</v>
      </c>
    </row>
    <row r="24" spans="1:11">
      <c r="A24" s="130" t="s">
        <v>383</v>
      </c>
      <c r="B24" s="70"/>
      <c r="C24" s="70"/>
      <c r="D24" s="70"/>
      <c r="E24" s="70"/>
      <c r="F24" s="70"/>
      <c r="G24" s="70"/>
      <c r="H24" s="70"/>
      <c r="I24" s="133" t="e">
        <f t="shared" si="0"/>
        <v>#DIV/0!</v>
      </c>
      <c r="J24" s="133" t="e">
        <f t="shared" si="1"/>
        <v>#DIV/0!</v>
      </c>
      <c r="K24" s="133" t="e">
        <f t="shared" si="2"/>
        <v>#DIV/0!</v>
      </c>
    </row>
    <row r="25" spans="1:11">
      <c r="A25" s="130"/>
      <c r="B25" s="70"/>
      <c r="C25" s="70"/>
      <c r="D25" s="70"/>
      <c r="E25" s="70"/>
      <c r="F25" s="70"/>
      <c r="G25" s="70"/>
      <c r="H25" s="70"/>
      <c r="I25" s="133" t="e">
        <f t="shared" si="0"/>
        <v>#DIV/0!</v>
      </c>
      <c r="J25" s="133" t="e">
        <f t="shared" si="1"/>
        <v>#DIV/0!</v>
      </c>
      <c r="K25" s="133" t="e">
        <f t="shared" si="2"/>
        <v>#DIV/0!</v>
      </c>
    </row>
    <row r="26" spans="1:11">
      <c r="A26" s="130"/>
      <c r="B26" s="70"/>
      <c r="C26" s="70"/>
      <c r="D26" s="70"/>
      <c r="E26" s="70"/>
      <c r="F26" s="70"/>
      <c r="G26" s="70"/>
      <c r="H26" s="70"/>
      <c r="I26" s="133"/>
      <c r="J26" s="133"/>
      <c r="K26" s="133"/>
    </row>
    <row r="27" spans="1:11">
      <c r="A27" s="130"/>
      <c r="B27" s="70"/>
      <c r="C27" s="70"/>
      <c r="D27" s="70"/>
      <c r="E27" s="70"/>
      <c r="F27" s="70"/>
      <c r="G27" s="70"/>
      <c r="H27" s="70"/>
      <c r="I27" s="133" t="e">
        <f t="shared" ref="I27:J29" si="6">F27*100/D27</f>
        <v>#DIV/0!</v>
      </c>
      <c r="J27" s="133" t="e">
        <f t="shared" si="6"/>
        <v>#DIV/0!</v>
      </c>
      <c r="K27" s="133" t="e">
        <f>H27*100/E27</f>
        <v>#DIV/0!</v>
      </c>
    </row>
    <row r="28" spans="1:11">
      <c r="A28" s="130" t="s">
        <v>325</v>
      </c>
      <c r="B28" s="70">
        <f t="shared" ref="B28:H28" si="7">B24+B25+B27+B26</f>
        <v>0</v>
      </c>
      <c r="C28" s="70">
        <f t="shared" si="7"/>
        <v>0</v>
      </c>
      <c r="D28" s="70">
        <f t="shared" si="7"/>
        <v>0</v>
      </c>
      <c r="E28" s="70">
        <f t="shared" si="7"/>
        <v>0</v>
      </c>
      <c r="F28" s="70">
        <f t="shared" si="7"/>
        <v>0</v>
      </c>
      <c r="G28" s="70">
        <f t="shared" si="7"/>
        <v>0</v>
      </c>
      <c r="H28" s="70">
        <f t="shared" si="7"/>
        <v>0</v>
      </c>
      <c r="I28" s="133" t="e">
        <f t="shared" si="6"/>
        <v>#DIV/0!</v>
      </c>
      <c r="J28" s="133" t="e">
        <f t="shared" si="6"/>
        <v>#DIV/0!</v>
      </c>
      <c r="K28" s="133" t="e">
        <f>H28*100/E28</f>
        <v>#DIV/0!</v>
      </c>
    </row>
    <row r="29" spans="1:11" s="9" customFormat="1" ht="18" customHeight="1">
      <c r="A29" s="31" t="s">
        <v>593</v>
      </c>
      <c r="B29" s="52" t="e">
        <f t="shared" ref="B29:H29" si="8">+B15+B18+B23+B28</f>
        <v>#REF!</v>
      </c>
      <c r="C29" s="52" t="e">
        <f t="shared" si="8"/>
        <v>#REF!</v>
      </c>
      <c r="D29" s="52" t="e">
        <f t="shared" si="8"/>
        <v>#REF!</v>
      </c>
      <c r="E29" s="52" t="e">
        <f t="shared" si="8"/>
        <v>#REF!</v>
      </c>
      <c r="F29" s="52" t="e">
        <f t="shared" si="8"/>
        <v>#REF!</v>
      </c>
      <c r="G29" s="52" t="e">
        <f t="shared" si="8"/>
        <v>#REF!</v>
      </c>
      <c r="H29" s="52" t="e">
        <f t="shared" si="8"/>
        <v>#REF!</v>
      </c>
      <c r="I29" s="111" t="e">
        <f t="shared" si="6"/>
        <v>#REF!</v>
      </c>
      <c r="J29" s="111" t="e">
        <f t="shared" si="6"/>
        <v>#REF!</v>
      </c>
      <c r="K29" s="111" t="e">
        <f>H29*100/E29</f>
        <v>#REF!</v>
      </c>
    </row>
    <row r="30" spans="1:11">
      <c r="C30" s="112"/>
    </row>
    <row r="31" spans="1:11">
      <c r="I31" s="68"/>
      <c r="J31" s="68"/>
      <c r="K31" s="68"/>
    </row>
    <row r="32" spans="1:11">
      <c r="C32" s="112"/>
    </row>
    <row r="33" spans="1:3" ht="15.6">
      <c r="A33" s="65" t="s">
        <v>212</v>
      </c>
      <c r="C33" s="112"/>
    </row>
    <row r="34" spans="1:3" ht="15.6">
      <c r="A34" s="65"/>
      <c r="C34" s="112"/>
    </row>
    <row r="35" spans="1:3" ht="15.6">
      <c r="A35" s="65" t="s">
        <v>352</v>
      </c>
    </row>
  </sheetData>
  <mergeCells count="3">
    <mergeCell ref="A4:K4"/>
    <mergeCell ref="A2:K2"/>
    <mergeCell ref="A3:K3"/>
  </mergeCells>
  <phoneticPr fontId="5" type="noConversion"/>
  <pageMargins left="0.8" right="0.2" top="0.19685039370078741" bottom="0.27559055118110237" header="0.31496062992125984" footer="0.31496062992125984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22"/>
  <dimension ref="A2:AA14"/>
  <sheetViews>
    <sheetView workbookViewId="0"/>
  </sheetViews>
  <sheetFormatPr defaultRowHeight="13.2"/>
  <cols>
    <col min="1" max="1" width="16" customWidth="1"/>
    <col min="4" max="8" width="11.44140625" customWidth="1"/>
    <col min="9" max="9" width="10.44140625" customWidth="1"/>
    <col min="10" max="10" width="11" bestFit="1" customWidth="1"/>
    <col min="11" max="11" width="7.88671875" bestFit="1" customWidth="1"/>
    <col min="12" max="12" width="15" customWidth="1"/>
    <col min="13" max="14" width="10.88671875" style="42" customWidth="1"/>
    <col min="15" max="15" width="11" style="42" customWidth="1"/>
    <col min="16" max="20" width="10.88671875" style="42" customWidth="1"/>
    <col min="24" max="24" width="11.6640625" bestFit="1" customWidth="1"/>
    <col min="25" max="25" width="10.109375" bestFit="1" customWidth="1"/>
    <col min="26" max="26" width="9.6640625" bestFit="1" customWidth="1"/>
  </cols>
  <sheetData>
    <row r="2" spans="1:27" ht="15.6">
      <c r="A2" s="316" t="s">
        <v>660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27"/>
      <c r="M2" s="54"/>
      <c r="N2" s="54"/>
    </row>
    <row r="3" spans="1:27" ht="15.6">
      <c r="A3" s="316" t="s">
        <v>444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27"/>
      <c r="M3" s="54"/>
      <c r="N3" s="54"/>
    </row>
    <row r="4" spans="1:27" ht="15.6">
      <c r="A4" s="316" t="s">
        <v>103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27"/>
      <c r="M4" s="54"/>
      <c r="N4" s="54"/>
    </row>
    <row r="5" spans="1:27" ht="15.6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27">
      <c r="A6" s="12" t="s">
        <v>421</v>
      </c>
      <c r="B6" s="25" t="s">
        <v>340</v>
      </c>
      <c r="C6" s="11"/>
      <c r="D6" s="10" t="s">
        <v>575</v>
      </c>
      <c r="E6" s="11"/>
      <c r="F6" s="10" t="s">
        <v>236</v>
      </c>
      <c r="G6" s="25"/>
      <c r="H6" s="11"/>
      <c r="I6" s="10" t="s">
        <v>237</v>
      </c>
      <c r="J6" s="25"/>
      <c r="K6" s="23"/>
      <c r="L6" s="12" t="s">
        <v>421</v>
      </c>
      <c r="M6" s="50" t="s">
        <v>617</v>
      </c>
      <c r="N6" s="46"/>
      <c r="O6" s="50" t="s">
        <v>618</v>
      </c>
      <c r="P6" s="46"/>
      <c r="Q6" s="45" t="s">
        <v>619</v>
      </c>
      <c r="R6" s="55" t="s">
        <v>620</v>
      </c>
      <c r="S6" s="56"/>
      <c r="T6" s="57"/>
      <c r="U6" s="22" t="s">
        <v>237</v>
      </c>
      <c r="V6" s="28"/>
      <c r="W6" s="23"/>
    </row>
    <row r="7" spans="1:27">
      <c r="A7" s="21" t="s">
        <v>663</v>
      </c>
      <c r="B7" s="26" t="s">
        <v>351</v>
      </c>
      <c r="C7" s="14"/>
      <c r="D7" s="13" t="s">
        <v>664</v>
      </c>
      <c r="E7" s="14"/>
      <c r="F7" s="13" t="s">
        <v>417</v>
      </c>
      <c r="G7" s="26"/>
      <c r="H7" s="14"/>
      <c r="I7" s="13" t="s">
        <v>571</v>
      </c>
      <c r="J7" s="26"/>
      <c r="K7" s="16"/>
      <c r="L7" s="21" t="s">
        <v>663</v>
      </c>
      <c r="M7" s="51"/>
      <c r="N7" s="48"/>
      <c r="O7" s="51" t="s">
        <v>409</v>
      </c>
      <c r="P7" s="48"/>
      <c r="Q7" s="47" t="s">
        <v>670</v>
      </c>
      <c r="R7" s="58" t="s">
        <v>547</v>
      </c>
      <c r="S7" s="59"/>
      <c r="T7" s="60"/>
      <c r="U7" s="29" t="s">
        <v>571</v>
      </c>
      <c r="V7" s="30"/>
      <c r="W7" s="16"/>
    </row>
    <row r="8" spans="1:27">
      <c r="A8" s="21" t="s">
        <v>592</v>
      </c>
      <c r="B8" s="11"/>
      <c r="C8" s="12"/>
      <c r="D8" s="12"/>
      <c r="E8" s="12"/>
      <c r="F8" s="12" t="s">
        <v>259</v>
      </c>
      <c r="G8" s="12" t="s">
        <v>260</v>
      </c>
      <c r="H8" s="12" t="s">
        <v>327</v>
      </c>
      <c r="I8" s="12" t="s">
        <v>259</v>
      </c>
      <c r="J8" s="12" t="s">
        <v>260</v>
      </c>
      <c r="K8" s="12" t="s">
        <v>327</v>
      </c>
      <c r="L8" s="15" t="s">
        <v>592</v>
      </c>
      <c r="M8" s="45" t="s">
        <v>548</v>
      </c>
      <c r="N8" s="45" t="s">
        <v>311</v>
      </c>
      <c r="O8" s="45" t="s">
        <v>548</v>
      </c>
      <c r="P8" s="45" t="s">
        <v>311</v>
      </c>
      <c r="Q8" s="47" t="s">
        <v>442</v>
      </c>
      <c r="R8" s="45" t="s">
        <v>259</v>
      </c>
      <c r="S8" s="45" t="s">
        <v>260</v>
      </c>
      <c r="T8" s="45" t="s">
        <v>327</v>
      </c>
      <c r="U8" s="12" t="s">
        <v>259</v>
      </c>
      <c r="V8" s="12" t="s">
        <v>260</v>
      </c>
      <c r="W8" s="12" t="s">
        <v>327</v>
      </c>
    </row>
    <row r="9" spans="1:27">
      <c r="A9" s="15"/>
      <c r="B9" s="14" t="s">
        <v>310</v>
      </c>
      <c r="C9" s="15" t="s">
        <v>311</v>
      </c>
      <c r="D9" s="15" t="s">
        <v>310</v>
      </c>
      <c r="E9" s="15" t="s">
        <v>311</v>
      </c>
      <c r="F9" s="15" t="s">
        <v>312</v>
      </c>
      <c r="G9" s="15" t="s">
        <v>389</v>
      </c>
      <c r="H9" s="15"/>
      <c r="I9" s="15" t="s">
        <v>312</v>
      </c>
      <c r="J9" s="15" t="s">
        <v>389</v>
      </c>
      <c r="K9" s="15"/>
      <c r="L9" s="8"/>
      <c r="M9" s="44"/>
      <c r="N9" s="44"/>
      <c r="O9" s="44"/>
      <c r="P9" s="44"/>
      <c r="Q9" s="44" t="s">
        <v>549</v>
      </c>
      <c r="R9" s="44" t="s">
        <v>312</v>
      </c>
      <c r="S9" s="44" t="s">
        <v>389</v>
      </c>
      <c r="T9" s="44"/>
      <c r="U9" s="15" t="s">
        <v>312</v>
      </c>
      <c r="V9" s="15" t="s">
        <v>389</v>
      </c>
      <c r="W9" s="15"/>
    </row>
    <row r="10" spans="1:27" ht="19.5" customHeight="1">
      <c r="A10" s="94" t="s">
        <v>587</v>
      </c>
      <c r="B10" s="70" t="e">
        <f>'Вспом-1 Ур'!B15</f>
        <v>#REF!</v>
      </c>
      <c r="C10" s="70" t="e">
        <f>'Вспом-1 Ур'!C15</f>
        <v>#REF!</v>
      </c>
      <c r="D10" s="70" t="e">
        <f>'Вспом-1 Ур'!D29</f>
        <v>#REF!</v>
      </c>
      <c r="E10" s="70" t="e">
        <f>'Вспом-1 Ур'!E29</f>
        <v>#REF!</v>
      </c>
      <c r="F10" s="70" t="e">
        <f>'Вспом-1 Ур'!F29</f>
        <v>#REF!</v>
      </c>
      <c r="G10" s="70" t="e">
        <f>'Вспом-1 Ур'!G29</f>
        <v>#REF!</v>
      </c>
      <c r="H10" s="70" t="e">
        <f>'Вспом-1 Ур'!H29</f>
        <v>#REF!</v>
      </c>
      <c r="I10" s="71" t="e">
        <f>F10*100/D10</f>
        <v>#REF!</v>
      </c>
      <c r="J10" s="71" t="e">
        <f>G10*100/E10</f>
        <v>#REF!</v>
      </c>
      <c r="K10" s="71" t="e">
        <f>H10*100/E10</f>
        <v>#REF!</v>
      </c>
      <c r="L10" s="38" t="s">
        <v>587</v>
      </c>
      <c r="M10" s="70" t="e">
        <f>N10</f>
        <v>#REF!</v>
      </c>
      <c r="N10" s="70" t="e">
        <f>#REF!</f>
        <v>#REF!</v>
      </c>
      <c r="O10" s="70" t="e">
        <f>P10</f>
        <v>#REF!</v>
      </c>
      <c r="P10" s="70" t="e">
        <f>#REF!</f>
        <v>#REF!</v>
      </c>
      <c r="Q10" s="70"/>
      <c r="R10" s="70" t="e">
        <f>F10+M10+O10</f>
        <v>#REF!</v>
      </c>
      <c r="S10" s="70" t="e">
        <f>G10+M10+O10</f>
        <v>#REF!</v>
      </c>
      <c r="T10" s="70" t="e">
        <f>H10+N10+P10</f>
        <v>#REF!</v>
      </c>
      <c r="U10" s="93" t="e">
        <f>R10*100/D10</f>
        <v>#REF!</v>
      </c>
      <c r="V10" s="93" t="e">
        <f>S10*100/E10</f>
        <v>#REF!</v>
      </c>
      <c r="W10" s="93" t="e">
        <f>T10*100/E10</f>
        <v>#REF!</v>
      </c>
      <c r="X10" s="42"/>
      <c r="Y10" s="42"/>
      <c r="AA10" s="42"/>
    </row>
    <row r="11" spans="1:27" ht="37.5" customHeight="1">
      <c r="C11" s="39"/>
      <c r="D11" s="68"/>
      <c r="E11" s="68"/>
      <c r="F11" s="68"/>
      <c r="G11" s="68"/>
      <c r="H11" s="68"/>
      <c r="I11" s="73"/>
      <c r="J11" s="73"/>
      <c r="K11" s="73"/>
      <c r="L11" s="39"/>
    </row>
    <row r="12" spans="1:27"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9" t="s">
        <v>224</v>
      </c>
      <c r="N12" s="49"/>
      <c r="O12" s="49"/>
      <c r="P12" s="49"/>
      <c r="Q12" s="49"/>
      <c r="R12" s="9" t="s">
        <v>352</v>
      </c>
      <c r="S12" s="49"/>
      <c r="T12" s="49"/>
    </row>
    <row r="13" spans="1:27">
      <c r="A13" t="s">
        <v>592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U13" s="42"/>
      <c r="V13" s="42"/>
      <c r="W13" s="42"/>
    </row>
    <row r="14" spans="1:27">
      <c r="C14" s="39"/>
      <c r="D14" s="39"/>
      <c r="E14" s="39"/>
      <c r="F14" s="39"/>
      <c r="G14" s="39"/>
      <c r="H14" s="39"/>
      <c r="I14" s="39"/>
      <c r="J14" s="39"/>
      <c r="K14" s="39"/>
      <c r="L14" s="39"/>
    </row>
  </sheetData>
  <mergeCells count="3">
    <mergeCell ref="A4:K4"/>
    <mergeCell ref="A3:K3"/>
    <mergeCell ref="A2:K2"/>
  </mergeCells>
  <phoneticPr fontId="5" type="noConversion"/>
  <pageMargins left="0.96" right="0.74803149606299213" top="0.79" bottom="0.19685039370078741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23"/>
  <dimension ref="A4:AD432"/>
  <sheetViews>
    <sheetView zoomScaleSheetLayoutView="100" workbookViewId="0"/>
  </sheetViews>
  <sheetFormatPr defaultColWidth="9.109375" defaultRowHeight="13.2"/>
  <cols>
    <col min="2" max="2" width="11.88671875" customWidth="1"/>
    <col min="4" max="4" width="9.33203125" style="42" customWidth="1"/>
    <col min="5" max="5" width="11.109375" style="42" bestFit="1" customWidth="1"/>
    <col min="6" max="6" width="12" style="42" customWidth="1"/>
    <col min="7" max="7" width="11.88671875" style="42" customWidth="1"/>
    <col min="8" max="9" width="9.33203125" style="42" customWidth="1"/>
    <col min="11" max="11" width="11.88671875" style="42" customWidth="1"/>
    <col min="12" max="13" width="12.6640625" style="42" customWidth="1"/>
    <col min="14" max="14" width="13.109375" customWidth="1"/>
    <col min="15" max="18" width="10.5546875" customWidth="1"/>
    <col min="19" max="19" width="6.44140625" customWidth="1"/>
    <col min="20" max="20" width="12.33203125" customWidth="1"/>
    <col min="30" max="30" width="12" customWidth="1"/>
    <col min="41" max="41" width="12" customWidth="1"/>
    <col min="52" max="52" width="12" customWidth="1"/>
    <col min="55" max="56" width="10.109375" bestFit="1" customWidth="1"/>
  </cols>
  <sheetData>
    <row r="4" spans="2:13">
      <c r="G4" s="42" t="s">
        <v>545</v>
      </c>
    </row>
    <row r="6" spans="2:13">
      <c r="B6" s="324"/>
      <c r="C6" s="324"/>
      <c r="D6" s="324"/>
      <c r="E6" s="324"/>
      <c r="F6" s="324"/>
      <c r="G6" s="324"/>
    </row>
    <row r="8" spans="2:13" s="96" customFormat="1" ht="17.399999999999999">
      <c r="B8" s="317" t="s">
        <v>430</v>
      </c>
      <c r="C8" s="317"/>
      <c r="D8" s="317"/>
      <c r="E8" s="317"/>
      <c r="F8" s="317"/>
      <c r="G8" s="317"/>
      <c r="H8" s="95"/>
      <c r="I8" s="95"/>
      <c r="K8" s="95"/>
      <c r="L8" s="95"/>
      <c r="M8" s="95"/>
    </row>
    <row r="10" spans="2:13" ht="17.399999999999999">
      <c r="B10" t="s">
        <v>231</v>
      </c>
      <c r="D10"/>
      <c r="E10"/>
      <c r="F10"/>
      <c r="G10"/>
    </row>
    <row r="22" spans="2:7">
      <c r="B22" s="324" t="s">
        <v>445</v>
      </c>
      <c r="C22" s="324"/>
      <c r="D22" s="324"/>
      <c r="E22" s="324"/>
      <c r="F22" s="324"/>
      <c r="G22" s="324"/>
    </row>
    <row r="23" spans="2:7">
      <c r="B23" s="324" t="s">
        <v>569</v>
      </c>
      <c r="C23" s="324"/>
      <c r="D23" s="324"/>
      <c r="E23" s="324"/>
      <c r="F23" s="324"/>
      <c r="G23" s="324"/>
    </row>
    <row r="24" spans="2:7">
      <c r="B24" s="324" t="s">
        <v>249</v>
      </c>
      <c r="C24" s="324"/>
      <c r="D24" s="324"/>
      <c r="E24" s="324"/>
      <c r="F24" s="324"/>
      <c r="G24" s="324"/>
    </row>
    <row r="30" spans="2:7">
      <c r="B30" s="324" t="s">
        <v>248</v>
      </c>
      <c r="C30" s="324"/>
      <c r="D30" s="324"/>
      <c r="E30" s="324"/>
      <c r="F30" s="324"/>
      <c r="G30" s="324"/>
    </row>
    <row r="31" spans="2:7">
      <c r="B31" s="324" t="s">
        <v>391</v>
      </c>
      <c r="C31" s="324"/>
      <c r="D31" s="324"/>
      <c r="E31" s="324"/>
      <c r="F31" s="324"/>
      <c r="G31" s="324"/>
    </row>
    <row r="33" spans="2:7" ht="17.399999999999999">
      <c r="B33" s="317" t="s">
        <v>107</v>
      </c>
      <c r="C33" s="317"/>
      <c r="D33" s="317"/>
      <c r="E33" s="317"/>
      <c r="F33" s="317"/>
      <c r="G33" s="317"/>
    </row>
    <row r="67" spans="1:19">
      <c r="D67"/>
      <c r="J67" s="42"/>
    </row>
    <row r="68" spans="1:19">
      <c r="D68"/>
      <c r="G68" s="49"/>
      <c r="J68" s="42"/>
    </row>
    <row r="69" spans="1:19">
      <c r="D69"/>
      <c r="J69" s="42"/>
    </row>
    <row r="70" spans="1:19">
      <c r="D70"/>
      <c r="J70" s="42"/>
    </row>
    <row r="71" spans="1:19">
      <c r="D71"/>
      <c r="J71" s="42"/>
    </row>
    <row r="72" spans="1:19" ht="16.5" customHeight="1">
      <c r="A72" t="s">
        <v>503</v>
      </c>
      <c r="E72" s="42" t="s">
        <v>422</v>
      </c>
      <c r="H72" s="42" t="e">
        <f>#REF!</f>
        <v>#REF!</v>
      </c>
      <c r="J72" s="42"/>
    </row>
    <row r="73" spans="1:19" ht="16.5" customHeight="1">
      <c r="E73" s="42" t="s">
        <v>413</v>
      </c>
      <c r="H73" s="42">
        <f>J79</f>
        <v>11226</v>
      </c>
      <c r="J73" s="42"/>
    </row>
    <row r="74" spans="1:19" ht="16.5" customHeight="1">
      <c r="E74" s="42" t="s">
        <v>412</v>
      </c>
      <c r="J74" s="42"/>
    </row>
    <row r="75" spans="1:19" ht="16.5" customHeight="1">
      <c r="E75" s="188" t="s">
        <v>684</v>
      </c>
      <c r="F75" s="188" t="s">
        <v>683</v>
      </c>
      <c r="G75" s="188" t="s">
        <v>682</v>
      </c>
      <c r="H75" s="188" t="s">
        <v>681</v>
      </c>
      <c r="I75" s="188" t="s">
        <v>680</v>
      </c>
      <c r="J75" s="188" t="s">
        <v>354</v>
      </c>
    </row>
    <row r="76" spans="1:19" ht="16.5" customHeight="1">
      <c r="D76" s="42" t="s">
        <v>679</v>
      </c>
      <c r="E76" s="188">
        <f>10490+330</f>
        <v>10820</v>
      </c>
      <c r="F76" s="188"/>
      <c r="G76" s="188"/>
      <c r="H76" s="188"/>
      <c r="I76" s="188"/>
      <c r="J76" s="188">
        <f>E76+F76+G76+H76+I76</f>
        <v>10820</v>
      </c>
      <c r="K76" s="42">
        <f>E76*2056.79</f>
        <v>22254467.800000001</v>
      </c>
    </row>
    <row r="77" spans="1:19" ht="16.5" customHeight="1">
      <c r="D77" s="42" t="s">
        <v>242</v>
      </c>
      <c r="E77" s="188">
        <v>406</v>
      </c>
      <c r="F77" s="188"/>
      <c r="G77" s="188"/>
      <c r="H77" s="188"/>
      <c r="I77" s="188"/>
      <c r="J77" s="188">
        <f>E77+F77+G77+H77+I77</f>
        <v>406</v>
      </c>
      <c r="K77" s="42">
        <f>E77*2004.15</f>
        <v>813684.9</v>
      </c>
    </row>
    <row r="78" spans="1:19" ht="16.5" customHeight="1">
      <c r="D78" s="42" t="s">
        <v>387</v>
      </c>
      <c r="E78" s="188"/>
      <c r="F78" s="188"/>
      <c r="G78" s="188"/>
      <c r="H78" s="188"/>
      <c r="I78" s="188"/>
      <c r="J78" s="188">
        <f>E78+F78+G78+H78+I78</f>
        <v>0</v>
      </c>
      <c r="M78" s="42">
        <v>1880.06</v>
      </c>
    </row>
    <row r="79" spans="1:19" ht="16.5" customHeight="1">
      <c r="D79" s="42" t="s">
        <v>354</v>
      </c>
      <c r="E79" s="45">
        <f t="shared" ref="E79:J79" si="0">E76+E77+E78</f>
        <v>11226</v>
      </c>
      <c r="F79" s="45">
        <f t="shared" si="0"/>
        <v>0</v>
      </c>
      <c r="G79" s="45">
        <f t="shared" si="0"/>
        <v>0</v>
      </c>
      <c r="H79" s="45">
        <f t="shared" si="0"/>
        <v>0</v>
      </c>
      <c r="I79" s="45">
        <f t="shared" si="0"/>
        <v>0</v>
      </c>
      <c r="J79" s="45">
        <f t="shared" si="0"/>
        <v>11226</v>
      </c>
      <c r="K79" s="42">
        <f>SUM(K76:K78)</f>
        <v>23068152.699999999</v>
      </c>
      <c r="N79" s="42"/>
      <c r="O79" s="42"/>
      <c r="P79" s="42"/>
      <c r="Q79" s="42"/>
      <c r="R79" s="42"/>
      <c r="S79" s="42"/>
    </row>
    <row r="80" spans="1:19" ht="16.5" customHeight="1">
      <c r="A80" s="327" t="s">
        <v>348</v>
      </c>
      <c r="B80" s="328"/>
      <c r="C80" s="329"/>
      <c r="D80" s="183" t="s">
        <v>347</v>
      </c>
      <c r="E80" s="321" t="s">
        <v>429</v>
      </c>
      <c r="F80" s="321"/>
      <c r="G80" s="322"/>
      <c r="H80" s="320" t="s">
        <v>533</v>
      </c>
      <c r="I80" s="321"/>
      <c r="J80" s="322"/>
    </row>
    <row r="81" spans="1:12" ht="16.5" customHeight="1">
      <c r="A81" s="323" t="s">
        <v>342</v>
      </c>
      <c r="B81" s="324"/>
      <c r="C81" s="325"/>
      <c r="D81" s="190" t="s">
        <v>649</v>
      </c>
      <c r="E81" s="186" t="s">
        <v>648</v>
      </c>
      <c r="F81" s="183" t="s">
        <v>377</v>
      </c>
      <c r="G81" s="186" t="s">
        <v>379</v>
      </c>
      <c r="H81" s="183" t="s">
        <v>378</v>
      </c>
      <c r="I81" s="190" t="s">
        <v>377</v>
      </c>
      <c r="J81" s="183" t="s">
        <v>376</v>
      </c>
    </row>
    <row r="82" spans="1:12" ht="16.5" customHeight="1">
      <c r="A82" s="106"/>
      <c r="C82" s="191"/>
      <c r="D82" s="190" t="s">
        <v>302</v>
      </c>
      <c r="E82" s="186" t="s">
        <v>375</v>
      </c>
      <c r="F82" s="190" t="s">
        <v>588</v>
      </c>
      <c r="G82" s="186" t="s">
        <v>420</v>
      </c>
      <c r="H82" s="190" t="s">
        <v>645</v>
      </c>
      <c r="I82" s="190" t="s">
        <v>353</v>
      </c>
      <c r="J82" s="190" t="s">
        <v>353</v>
      </c>
    </row>
    <row r="83" spans="1:12" ht="16.5" customHeight="1">
      <c r="A83" s="106"/>
      <c r="C83" s="191"/>
      <c r="D83" s="190"/>
      <c r="E83" s="186" t="s">
        <v>644</v>
      </c>
      <c r="F83" s="190" t="s">
        <v>643</v>
      </c>
      <c r="G83" s="186" t="s">
        <v>250</v>
      </c>
      <c r="H83" s="190" t="s">
        <v>353</v>
      </c>
      <c r="I83" s="186"/>
      <c r="J83" s="190"/>
    </row>
    <row r="84" spans="1:12" ht="16.5" customHeight="1">
      <c r="A84" s="106"/>
      <c r="C84" s="191"/>
      <c r="D84" s="190"/>
      <c r="E84" s="186" t="s">
        <v>360</v>
      </c>
      <c r="F84" s="190" t="s">
        <v>360</v>
      </c>
      <c r="G84" s="186" t="s">
        <v>359</v>
      </c>
      <c r="H84" s="190"/>
      <c r="I84" s="186"/>
      <c r="J84" s="190"/>
    </row>
    <row r="85" spans="1:12" ht="16.5" customHeight="1">
      <c r="A85" s="106"/>
      <c r="C85" s="191"/>
      <c r="D85" s="190"/>
      <c r="E85" s="186" t="s">
        <v>358</v>
      </c>
      <c r="F85" s="190" t="s">
        <v>358</v>
      </c>
      <c r="G85" s="186" t="s">
        <v>357</v>
      </c>
      <c r="H85" s="190"/>
      <c r="I85" s="186"/>
      <c r="J85" s="190"/>
    </row>
    <row r="86" spans="1:12" ht="16.5" customHeight="1">
      <c r="A86" s="13"/>
      <c r="B86" s="26"/>
      <c r="C86" s="14"/>
      <c r="D86" s="43"/>
      <c r="E86" s="192" t="s">
        <v>591</v>
      </c>
      <c r="F86" s="43" t="s">
        <v>591</v>
      </c>
      <c r="G86" s="192"/>
      <c r="H86" s="43"/>
      <c r="I86" s="192"/>
      <c r="J86" s="43"/>
    </row>
    <row r="87" spans="1:12" ht="16.5" customHeight="1">
      <c r="A87" s="326"/>
      <c r="B87" s="326"/>
      <c r="C87" s="326"/>
      <c r="D87" s="41"/>
      <c r="E87" s="41">
        <v>1</v>
      </c>
      <c r="F87" s="41">
        <v>2</v>
      </c>
      <c r="G87" s="41">
        <v>3</v>
      </c>
      <c r="H87" s="41">
        <v>4</v>
      </c>
      <c r="I87" s="41">
        <v>5</v>
      </c>
      <c r="J87" s="41">
        <v>6</v>
      </c>
    </row>
    <row r="88" spans="1:12" ht="16.5" customHeight="1">
      <c r="A88" s="97" t="s">
        <v>651</v>
      </c>
      <c r="B88" s="193"/>
      <c r="C88" s="194"/>
      <c r="D88" s="50"/>
      <c r="E88" s="45"/>
      <c r="F88" s="195"/>
      <c r="G88" s="45"/>
      <c r="H88" s="195"/>
      <c r="I88" s="45"/>
      <c r="J88" s="46"/>
    </row>
    <row r="89" spans="1:12" ht="17.25" customHeight="1">
      <c r="A89" s="196" t="s">
        <v>334</v>
      </c>
      <c r="B89" s="193"/>
      <c r="C89" s="194"/>
      <c r="D89" s="197" t="s">
        <v>229</v>
      </c>
      <c r="E89" s="188"/>
      <c r="F89" s="198">
        <f>ROUND(G89*1.04,0)-520663-6146</f>
        <v>20271697</v>
      </c>
      <c r="G89" s="188">
        <f>ROUND(K79,0)-3538384.3+468795</f>
        <v>19998563.699999999</v>
      </c>
      <c r="H89" s="198" t="e">
        <f>E89*1000/H72</f>
        <v>#REF!</v>
      </c>
      <c r="I89" s="188" t="e">
        <f>F89*1000/H72</f>
        <v>#REF!</v>
      </c>
      <c r="J89" s="199" t="e">
        <f>G89*1000/H72</f>
        <v>#REF!</v>
      </c>
      <c r="K89" s="42">
        <f>G89/J79</f>
        <v>1781.4505344735435</v>
      </c>
      <c r="L89" s="42">
        <v>111111</v>
      </c>
    </row>
    <row r="90" spans="1:12" ht="17.25" customHeight="1">
      <c r="A90" s="196" t="s">
        <v>228</v>
      </c>
      <c r="B90" s="193"/>
      <c r="C90" s="194"/>
      <c r="D90" s="197" t="s">
        <v>211</v>
      </c>
      <c r="E90" s="188"/>
      <c r="F90" s="198" t="e">
        <f>ROUND(G90*1.04,0)</f>
        <v>#REF!</v>
      </c>
      <c r="G90" s="188" t="e">
        <f>N363+34720+27363</f>
        <v>#REF!</v>
      </c>
      <c r="H90" s="197" t="e">
        <f>E90*1000/H72</f>
        <v>#REF!</v>
      </c>
      <c r="I90" s="188" t="e">
        <f>F90*1000/H72</f>
        <v>#REF!</v>
      </c>
      <c r="J90" s="199" t="e">
        <f>G90*1000/H72</f>
        <v>#REF!</v>
      </c>
    </row>
    <row r="91" spans="1:12" ht="17.25" customHeight="1">
      <c r="A91" s="10" t="s">
        <v>210</v>
      </c>
      <c r="B91" s="25"/>
      <c r="C91" s="11"/>
      <c r="D91" s="50"/>
      <c r="E91" s="45"/>
      <c r="F91" s="195"/>
      <c r="G91" s="50"/>
      <c r="H91" s="50"/>
      <c r="I91" s="45"/>
      <c r="J91" s="46"/>
    </row>
    <row r="92" spans="1:12" ht="17.25" customHeight="1">
      <c r="A92" s="13" t="s">
        <v>558</v>
      </c>
      <c r="B92" s="26"/>
      <c r="C92" s="14"/>
      <c r="D92" s="51" t="s">
        <v>323</v>
      </c>
      <c r="E92" s="44"/>
      <c r="F92" s="198" t="e">
        <f>G92</f>
        <v>#REF!</v>
      </c>
      <c r="G92" s="51" t="e">
        <f>N365+3080</f>
        <v>#REF!</v>
      </c>
      <c r="H92" s="200" t="e">
        <f>E92*1000/H72</f>
        <v>#REF!</v>
      </c>
      <c r="I92" s="47" t="e">
        <f>F92*1000/H72</f>
        <v>#REF!</v>
      </c>
      <c r="J92" s="201" t="e">
        <f>G92*1000/H72</f>
        <v>#REF!</v>
      </c>
    </row>
    <row r="93" spans="1:12" ht="17.25" customHeight="1">
      <c r="A93" s="10" t="s">
        <v>558</v>
      </c>
      <c r="B93" s="25"/>
      <c r="C93" s="11"/>
      <c r="E93" s="47"/>
      <c r="G93" s="200"/>
      <c r="H93" s="50"/>
      <c r="I93" s="45"/>
      <c r="J93" s="46"/>
    </row>
    <row r="94" spans="1:12" ht="17.25" customHeight="1">
      <c r="A94" s="106" t="s">
        <v>246</v>
      </c>
      <c r="C94" s="191"/>
      <c r="E94" s="47"/>
      <c r="G94" s="200"/>
      <c r="H94" s="200"/>
      <c r="I94" s="47"/>
      <c r="J94" s="201"/>
    </row>
    <row r="95" spans="1:12" ht="17.25" customHeight="1">
      <c r="A95" s="13" t="s">
        <v>245</v>
      </c>
      <c r="B95" s="26"/>
      <c r="C95" s="14"/>
      <c r="D95" s="42" t="s">
        <v>215</v>
      </c>
      <c r="E95" s="47">
        <f>E89+E90-E92</f>
        <v>0</v>
      </c>
      <c r="F95" s="47" t="e">
        <f>F89+F90-F92</f>
        <v>#REF!</v>
      </c>
      <c r="G95" s="200" t="e">
        <f>G89+G90-G92</f>
        <v>#REF!</v>
      </c>
      <c r="H95" s="51" t="e">
        <f>E95*1000/H72</f>
        <v>#REF!</v>
      </c>
      <c r="I95" s="44" t="e">
        <f>F95*1000/H72</f>
        <v>#REF!</v>
      </c>
      <c r="J95" s="48" t="e">
        <f>G95*1000/H72</f>
        <v>#REF!</v>
      </c>
    </row>
    <row r="96" spans="1:12" ht="17.25" customHeight="1">
      <c r="A96" s="98" t="s">
        <v>214</v>
      </c>
      <c r="B96" s="80"/>
      <c r="C96" s="99"/>
      <c r="D96" s="197"/>
      <c r="E96" s="188"/>
      <c r="F96" s="198"/>
      <c r="G96" s="188"/>
      <c r="H96" s="202"/>
      <c r="I96" s="44"/>
      <c r="J96" s="48"/>
    </row>
    <row r="97" spans="1:10" ht="17.25" customHeight="1">
      <c r="A97" s="196" t="s">
        <v>213</v>
      </c>
      <c r="B97" s="193"/>
      <c r="C97" s="194"/>
      <c r="D97" s="197" t="s">
        <v>227</v>
      </c>
      <c r="E97" s="188"/>
      <c r="F97" s="198" t="e">
        <f>ROUND(G97*1.04,0)</f>
        <v>#REF!</v>
      </c>
      <c r="G97" s="51" t="e">
        <f>N370-514</f>
        <v>#REF!</v>
      </c>
      <c r="H97" s="195" t="e">
        <f>E97*1000/H72</f>
        <v>#REF!</v>
      </c>
      <c r="I97" s="45" t="e">
        <f>F97*1000/H72</f>
        <v>#REF!</v>
      </c>
      <c r="J97" s="46" t="e">
        <f>G97*1000/H72</f>
        <v>#REF!</v>
      </c>
    </row>
    <row r="98" spans="1:10" ht="17.25" customHeight="1">
      <c r="A98" s="10" t="s">
        <v>585</v>
      </c>
      <c r="B98" s="25"/>
      <c r="C98" s="11"/>
      <c r="E98" s="45"/>
      <c r="G98" s="50"/>
      <c r="H98" s="50"/>
      <c r="I98" s="45"/>
      <c r="J98" s="46"/>
    </row>
    <row r="99" spans="1:10" ht="17.25" customHeight="1">
      <c r="A99" s="106" t="s">
        <v>584</v>
      </c>
      <c r="C99" s="191"/>
      <c r="E99" s="47"/>
      <c r="G99" s="200"/>
      <c r="H99" s="200"/>
      <c r="I99" s="47"/>
      <c r="J99" s="201"/>
    </row>
    <row r="100" spans="1:10" ht="17.25" customHeight="1">
      <c r="A100" s="13" t="s">
        <v>583</v>
      </c>
      <c r="B100" s="26"/>
      <c r="C100" s="14"/>
      <c r="D100" s="42" t="s">
        <v>532</v>
      </c>
      <c r="E100" s="47"/>
      <c r="F100" s="198" t="e">
        <f>ROUND(G100*1.04,0)</f>
        <v>#REF!</v>
      </c>
      <c r="G100" s="51" t="e">
        <f>N373+6068+19996</f>
        <v>#REF!</v>
      </c>
      <c r="H100" s="200" t="e">
        <f>E100*1000/H72</f>
        <v>#REF!</v>
      </c>
      <c r="I100" s="47" t="e">
        <f>F100*1000/H72</f>
        <v>#REF!</v>
      </c>
      <c r="J100" s="201" t="e">
        <f>G100*1000/H72</f>
        <v>#REF!</v>
      </c>
    </row>
    <row r="101" spans="1:10" ht="17.25" customHeight="1">
      <c r="A101" s="10" t="s">
        <v>529</v>
      </c>
      <c r="B101" s="25"/>
      <c r="C101" s="11"/>
      <c r="D101" s="50"/>
      <c r="E101" s="45"/>
      <c r="F101" s="195"/>
      <c r="G101" s="50"/>
      <c r="H101" s="50"/>
      <c r="I101" s="45"/>
      <c r="J101" s="46"/>
    </row>
    <row r="102" spans="1:10" ht="17.25" customHeight="1">
      <c r="A102" s="13" t="s">
        <v>528</v>
      </c>
      <c r="B102" s="26"/>
      <c r="C102" s="14"/>
      <c r="D102" s="51" t="s">
        <v>527</v>
      </c>
      <c r="E102" s="44"/>
      <c r="F102" s="198" t="e">
        <f>ROUND(G102*1.04,0)</f>
        <v>#REF!</v>
      </c>
      <c r="G102" s="198" t="e">
        <f>ROUND(G100*0.25,0)-4588+575</f>
        <v>#REF!</v>
      </c>
      <c r="H102" s="51" t="e">
        <f>E102*1000/H72</f>
        <v>#REF!</v>
      </c>
      <c r="I102" s="44" t="e">
        <f>F102*1000/H72</f>
        <v>#REF!</v>
      </c>
      <c r="J102" s="48" t="e">
        <f>G102*1000/H72</f>
        <v>#REF!</v>
      </c>
    </row>
    <row r="103" spans="1:10" ht="17.25" customHeight="1">
      <c r="A103" s="106" t="s">
        <v>526</v>
      </c>
      <c r="C103" s="191"/>
      <c r="E103" s="47"/>
      <c r="G103" s="200"/>
      <c r="H103" s="200"/>
      <c r="I103" s="47"/>
      <c r="J103" s="201"/>
    </row>
    <row r="104" spans="1:10" ht="17.25" customHeight="1">
      <c r="A104" s="13" t="s">
        <v>525</v>
      </c>
      <c r="B104" s="26"/>
      <c r="C104" s="14"/>
      <c r="D104" s="42" t="s">
        <v>369</v>
      </c>
      <c r="E104" s="47"/>
      <c r="F104" s="198" t="e">
        <f>ROUND(G104*1.04,0)</f>
        <v>#REF!</v>
      </c>
      <c r="G104" s="51" t="e">
        <f>N377-109045+17061+5886</f>
        <v>#REF!</v>
      </c>
      <c r="H104" s="51" t="e">
        <f>E104*1000/H72</f>
        <v>#REF!</v>
      </c>
      <c r="I104" s="44" t="e">
        <f>F104*1000/H72</f>
        <v>#REF!</v>
      </c>
      <c r="J104" s="48" t="e">
        <f>G104*1000/H72</f>
        <v>#REF!</v>
      </c>
    </row>
    <row r="105" spans="1:10" ht="17.25" customHeight="1">
      <c r="A105" s="10" t="s">
        <v>368</v>
      </c>
      <c r="B105" s="25"/>
      <c r="C105" s="11"/>
      <c r="D105" s="50"/>
      <c r="E105" s="45"/>
      <c r="F105" s="195"/>
      <c r="G105" s="45"/>
      <c r="I105" s="47"/>
      <c r="J105" s="47"/>
    </row>
    <row r="106" spans="1:10" ht="17.25" customHeight="1">
      <c r="A106" s="13" t="s">
        <v>418</v>
      </c>
      <c r="B106" s="26"/>
      <c r="C106" s="14"/>
      <c r="D106" s="51" t="s">
        <v>662</v>
      </c>
      <c r="E106" s="44">
        <f>E97+E100+E102+E104</f>
        <v>0</v>
      </c>
      <c r="F106" s="44" t="e">
        <f>F97+F100+F102+F104</f>
        <v>#REF!</v>
      </c>
      <c r="G106" s="44" t="e">
        <f>G97+G100+G102+G104</f>
        <v>#REF!</v>
      </c>
      <c r="H106" s="44" t="e">
        <f>E106*1000/H72</f>
        <v>#REF!</v>
      </c>
      <c r="I106" s="44" t="e">
        <f>F106*1000/H72</f>
        <v>#REF!</v>
      </c>
      <c r="J106" s="44" t="e">
        <f>G106*1000/H72</f>
        <v>#REF!</v>
      </c>
    </row>
    <row r="107" spans="1:10" ht="17.25" customHeight="1">
      <c r="A107" s="106"/>
      <c r="C107" s="191"/>
      <c r="D107" s="50"/>
      <c r="E107" s="45"/>
      <c r="F107" s="45"/>
      <c r="G107" s="45"/>
      <c r="H107" s="46"/>
      <c r="I107" s="47"/>
      <c r="J107" s="47"/>
    </row>
    <row r="108" spans="1:10" ht="17.25" customHeight="1">
      <c r="A108" s="106"/>
      <c r="C108" s="191"/>
      <c r="D108" s="51"/>
      <c r="E108" s="44"/>
      <c r="F108" s="44"/>
      <c r="G108" s="44"/>
      <c r="H108" s="48"/>
      <c r="I108" s="44" t="e">
        <f>F108*1000/H72</f>
        <v>#REF!</v>
      </c>
      <c r="J108" s="44" t="e">
        <f>G108*1000/I72</f>
        <v>#DIV/0!</v>
      </c>
    </row>
    <row r="109" spans="1:10" ht="17.25" customHeight="1">
      <c r="A109" s="10" t="s">
        <v>661</v>
      </c>
      <c r="B109" s="25"/>
      <c r="C109" s="11"/>
      <c r="E109" s="47"/>
      <c r="G109" s="47"/>
      <c r="I109" s="47"/>
      <c r="J109" s="47"/>
    </row>
    <row r="110" spans="1:10" ht="17.25" customHeight="1">
      <c r="A110" s="106" t="s">
        <v>516</v>
      </c>
      <c r="C110" s="191"/>
      <c r="D110" s="42" t="s">
        <v>515</v>
      </c>
      <c r="E110" s="47">
        <f>E95+E106</f>
        <v>0</v>
      </c>
      <c r="F110" s="200" t="e">
        <f>F95+F106+F108</f>
        <v>#REF!</v>
      </c>
      <c r="G110" s="44" t="e">
        <f>G95+G106+G108</f>
        <v>#REF!</v>
      </c>
      <c r="H110" s="201" t="e">
        <f>E110*1000/H72</f>
        <v>#REF!</v>
      </c>
      <c r="I110" s="47" t="e">
        <f>F110*1000/H72</f>
        <v>#REF!</v>
      </c>
      <c r="J110" s="47" t="e">
        <f>G110*1000/H72</f>
        <v>#REF!</v>
      </c>
    </row>
    <row r="111" spans="1:10" ht="17.25" customHeight="1">
      <c r="A111" s="10" t="s">
        <v>514</v>
      </c>
      <c r="B111" s="25"/>
      <c r="C111" s="11"/>
      <c r="D111" s="50"/>
      <c r="E111" s="45"/>
      <c r="F111" s="195"/>
      <c r="G111" s="45"/>
      <c r="H111" s="50"/>
      <c r="I111" s="45"/>
      <c r="J111" s="46"/>
    </row>
    <row r="112" spans="1:10" ht="17.25" customHeight="1">
      <c r="A112" s="13" t="s">
        <v>393</v>
      </c>
      <c r="B112" s="26"/>
      <c r="C112" s="14"/>
      <c r="D112" s="51" t="s">
        <v>540</v>
      </c>
      <c r="E112" s="44"/>
      <c r="F112" s="202" t="e">
        <f>'Вспом-1'!D10</f>
        <v>#REF!</v>
      </c>
      <c r="G112" s="44" t="e">
        <f>'Вспом-1'!E10</f>
        <v>#REF!</v>
      </c>
      <c r="H112" s="51" t="e">
        <f>E112*1000/H72</f>
        <v>#REF!</v>
      </c>
      <c r="I112" s="44" t="e">
        <f>F112*1000/H72</f>
        <v>#REF!</v>
      </c>
      <c r="J112" s="48" t="e">
        <f>G112*1000/H72</f>
        <v>#REF!</v>
      </c>
    </row>
    <row r="113" spans="6:10">
      <c r="F113" s="203" t="e">
        <f>'Вспом-1'!G10-'73-ХЛ'!F110</f>
        <v>#REF!</v>
      </c>
      <c r="G113" s="203" t="e">
        <f>#REF!-G110</f>
        <v>#REF!</v>
      </c>
      <c r="J113" s="42"/>
    </row>
    <row r="114" spans="6:10">
      <c r="G114" s="187"/>
      <c r="J114" s="42"/>
    </row>
    <row r="115" spans="6:10">
      <c r="J115" s="42"/>
    </row>
    <row r="116" spans="6:10">
      <c r="J116" s="42"/>
    </row>
    <row r="117" spans="6:10">
      <c r="J117" s="42"/>
    </row>
    <row r="118" spans="6:10">
      <c r="J118" s="42"/>
    </row>
    <row r="119" spans="6:10">
      <c r="J119" s="42"/>
    </row>
    <row r="120" spans="6:10">
      <c r="J120" s="42"/>
    </row>
    <row r="121" spans="6:10">
      <c r="J121" s="42"/>
    </row>
    <row r="122" spans="6:10">
      <c r="J122" s="42"/>
    </row>
    <row r="123" spans="6:10">
      <c r="J123" s="42"/>
    </row>
    <row r="124" spans="6:10">
      <c r="J124" s="42"/>
    </row>
    <row r="125" spans="6:10">
      <c r="J125" s="42"/>
    </row>
    <row r="126" spans="6:10">
      <c r="J126" s="42"/>
    </row>
    <row r="127" spans="6:10">
      <c r="J127" s="42"/>
    </row>
    <row r="128" spans="6:10">
      <c r="J128" s="42"/>
    </row>
    <row r="129" spans="1:19" ht="17.25" customHeight="1">
      <c r="A129" t="s">
        <v>503</v>
      </c>
      <c r="E129" s="42" t="s">
        <v>201</v>
      </c>
      <c r="H129" s="42" t="e">
        <f>#REF!</f>
        <v>#REF!</v>
      </c>
      <c r="J129" s="42"/>
    </row>
    <row r="130" spans="1:19" ht="17.25" customHeight="1">
      <c r="E130" s="42" t="s">
        <v>413</v>
      </c>
      <c r="H130" s="42">
        <f>J136</f>
        <v>2159</v>
      </c>
      <c r="J130" s="42"/>
    </row>
    <row r="131" spans="1:19" ht="17.25" customHeight="1">
      <c r="E131" s="42" t="s">
        <v>412</v>
      </c>
      <c r="J131" s="42"/>
    </row>
    <row r="132" spans="1:19" ht="17.25" customHeight="1">
      <c r="E132" s="188" t="s">
        <v>684</v>
      </c>
      <c r="F132" s="188" t="s">
        <v>683</v>
      </c>
      <c r="G132" s="188" t="s">
        <v>682</v>
      </c>
      <c r="H132" s="188" t="s">
        <v>681</v>
      </c>
      <c r="I132" s="188" t="s">
        <v>680</v>
      </c>
      <c r="J132" s="188" t="s">
        <v>354</v>
      </c>
    </row>
    <row r="133" spans="1:19" ht="17.25" customHeight="1">
      <c r="D133" s="42" t="s">
        <v>679</v>
      </c>
      <c r="E133" s="188">
        <v>482</v>
      </c>
      <c r="F133" s="188">
        <v>250</v>
      </c>
      <c r="G133" s="188"/>
      <c r="H133" s="188"/>
      <c r="I133" s="188"/>
      <c r="J133" s="188">
        <f>E133+F133+G133+H133+I133</f>
        <v>732</v>
      </c>
      <c r="K133" s="42">
        <f>E133*2056.79+F133*1880.06</f>
        <v>1461387.78</v>
      </c>
    </row>
    <row r="134" spans="1:19" ht="17.25" customHeight="1">
      <c r="D134" s="42" t="s">
        <v>242</v>
      </c>
      <c r="E134" s="188">
        <v>1427</v>
      </c>
      <c r="F134" s="188"/>
      <c r="G134" s="188"/>
      <c r="H134" s="188"/>
      <c r="I134" s="188"/>
      <c r="J134" s="188">
        <f>E134+F134+G134+H134+I134</f>
        <v>1427</v>
      </c>
      <c r="K134" s="42">
        <f>E134*2004.15</f>
        <v>2859922.0500000003</v>
      </c>
    </row>
    <row r="135" spans="1:19" ht="17.25" customHeight="1">
      <c r="D135" s="42" t="s">
        <v>387</v>
      </c>
      <c r="E135" s="188"/>
      <c r="F135" s="188"/>
      <c r="G135" s="188"/>
      <c r="H135" s="188"/>
      <c r="I135" s="188"/>
      <c r="J135" s="188">
        <f>E135+F135+G135+H135+I135</f>
        <v>0</v>
      </c>
      <c r="K135" s="42">
        <v>0</v>
      </c>
    </row>
    <row r="136" spans="1:19" ht="17.25" customHeight="1">
      <c r="D136" s="42" t="s">
        <v>354</v>
      </c>
      <c r="E136" s="45">
        <f t="shared" ref="E136:J136" si="1">E133+E134+E135</f>
        <v>1909</v>
      </c>
      <c r="F136" s="45">
        <f t="shared" si="1"/>
        <v>250</v>
      </c>
      <c r="G136" s="45">
        <f t="shared" si="1"/>
        <v>0</v>
      </c>
      <c r="H136" s="45">
        <f t="shared" si="1"/>
        <v>0</v>
      </c>
      <c r="I136" s="45">
        <f t="shared" si="1"/>
        <v>0</v>
      </c>
      <c r="J136" s="45">
        <f t="shared" si="1"/>
        <v>2159</v>
      </c>
      <c r="K136" s="42">
        <f>SUM(K133:K135)</f>
        <v>4321309.83</v>
      </c>
      <c r="N136" s="42"/>
      <c r="O136" s="42"/>
      <c r="P136" s="42"/>
      <c r="Q136" s="42"/>
      <c r="R136" s="42"/>
      <c r="S136" s="42"/>
    </row>
    <row r="137" spans="1:19" ht="17.25" customHeight="1">
      <c r="A137" s="327" t="s">
        <v>348</v>
      </c>
      <c r="B137" s="328"/>
      <c r="C137" s="329"/>
      <c r="D137" s="183" t="s">
        <v>347</v>
      </c>
      <c r="E137" s="321" t="s">
        <v>429</v>
      </c>
      <c r="F137" s="321"/>
      <c r="G137" s="322"/>
      <c r="H137" s="320" t="s">
        <v>533</v>
      </c>
      <c r="I137" s="321"/>
      <c r="J137" s="322"/>
    </row>
    <row r="138" spans="1:19" ht="17.25" customHeight="1">
      <c r="A138" s="323" t="s">
        <v>342</v>
      </c>
      <c r="B138" s="324"/>
      <c r="C138" s="325"/>
      <c r="D138" s="190" t="s">
        <v>649</v>
      </c>
      <c r="E138" s="186" t="s">
        <v>648</v>
      </c>
      <c r="F138" s="183" t="s">
        <v>377</v>
      </c>
      <c r="G138" s="186" t="s">
        <v>379</v>
      </c>
      <c r="H138" s="183" t="s">
        <v>378</v>
      </c>
      <c r="I138" s="190" t="s">
        <v>377</v>
      </c>
      <c r="J138" s="183" t="s">
        <v>376</v>
      </c>
    </row>
    <row r="139" spans="1:19" ht="17.25" customHeight="1">
      <c r="A139" s="106"/>
      <c r="C139" s="191"/>
      <c r="D139" s="190" t="s">
        <v>302</v>
      </c>
      <c r="E139" s="186" t="s">
        <v>375</v>
      </c>
      <c r="F139" s="190" t="s">
        <v>588</v>
      </c>
      <c r="G139" s="186" t="s">
        <v>420</v>
      </c>
      <c r="H139" s="190" t="s">
        <v>645</v>
      </c>
      <c r="I139" s="190" t="s">
        <v>353</v>
      </c>
      <c r="J139" s="190" t="s">
        <v>353</v>
      </c>
    </row>
    <row r="140" spans="1:19" ht="17.25" customHeight="1">
      <c r="A140" s="106"/>
      <c r="C140" s="191"/>
      <c r="D140" s="190"/>
      <c r="E140" s="186" t="s">
        <v>644</v>
      </c>
      <c r="F140" s="190" t="s">
        <v>643</v>
      </c>
      <c r="G140" s="186" t="s">
        <v>250</v>
      </c>
      <c r="H140" s="190" t="s">
        <v>353</v>
      </c>
      <c r="I140" s="186"/>
      <c r="J140" s="190"/>
    </row>
    <row r="141" spans="1:19" ht="17.25" customHeight="1">
      <c r="A141" s="106"/>
      <c r="C141" s="191"/>
      <c r="D141" s="190"/>
      <c r="E141" s="186" t="s">
        <v>360</v>
      </c>
      <c r="F141" s="190" t="s">
        <v>360</v>
      </c>
      <c r="G141" s="186" t="s">
        <v>359</v>
      </c>
      <c r="H141" s="190"/>
      <c r="I141" s="186"/>
      <c r="J141" s="190"/>
    </row>
    <row r="142" spans="1:19" ht="17.25" customHeight="1">
      <c r="A142" s="106"/>
      <c r="C142" s="191"/>
      <c r="D142" s="190"/>
      <c r="E142" s="186" t="s">
        <v>358</v>
      </c>
      <c r="F142" s="190" t="s">
        <v>358</v>
      </c>
      <c r="G142" s="186" t="s">
        <v>357</v>
      </c>
      <c r="H142" s="190"/>
      <c r="I142" s="186"/>
      <c r="J142" s="190"/>
    </row>
    <row r="143" spans="1:19" ht="17.25" customHeight="1">
      <c r="A143" s="13"/>
      <c r="B143" s="26"/>
      <c r="C143" s="14"/>
      <c r="D143" s="43"/>
      <c r="E143" s="192" t="s">
        <v>591</v>
      </c>
      <c r="F143" s="43" t="s">
        <v>591</v>
      </c>
      <c r="G143" s="192"/>
      <c r="H143" s="43"/>
      <c r="I143" s="192"/>
      <c r="J143" s="43"/>
    </row>
    <row r="144" spans="1:19" ht="17.25" customHeight="1">
      <c r="A144" s="326"/>
      <c r="B144" s="326"/>
      <c r="C144" s="326"/>
      <c r="D144" s="41"/>
      <c r="E144" s="41">
        <v>1</v>
      </c>
      <c r="F144" s="41">
        <v>2</v>
      </c>
      <c r="G144" s="41">
        <v>3</v>
      </c>
      <c r="H144" s="41">
        <v>4</v>
      </c>
      <c r="I144" s="41">
        <v>5</v>
      </c>
      <c r="J144" s="41">
        <v>6</v>
      </c>
    </row>
    <row r="145" spans="1:11" ht="15.75" customHeight="1">
      <c r="A145" s="97" t="s">
        <v>651</v>
      </c>
      <c r="B145" s="193"/>
      <c r="C145" s="194"/>
      <c r="D145" s="50"/>
      <c r="E145" s="45"/>
      <c r="F145" s="195"/>
      <c r="G145" s="45"/>
      <c r="H145" s="195"/>
      <c r="I145" s="45"/>
      <c r="J145" s="46"/>
    </row>
    <row r="146" spans="1:11" ht="15.75" customHeight="1">
      <c r="A146" s="196" t="s">
        <v>334</v>
      </c>
      <c r="B146" s="193"/>
      <c r="C146" s="194"/>
      <c r="D146" s="197" t="s">
        <v>229</v>
      </c>
      <c r="E146" s="188"/>
      <c r="F146" s="198">
        <f>ROUND(G146*1.04,0)-158431</f>
        <v>4006485</v>
      </c>
      <c r="G146" s="188">
        <f>ROUND(K136,0)-458118+141535</f>
        <v>4004727</v>
      </c>
      <c r="H146" s="198" t="e">
        <f>E146*1000/H129</f>
        <v>#REF!</v>
      </c>
      <c r="I146" s="188" t="e">
        <f>F146*1000/H129</f>
        <v>#REF!</v>
      </c>
      <c r="J146" s="199" t="e">
        <f>G146*1000/H129</f>
        <v>#REF!</v>
      </c>
      <c r="K146" s="42">
        <f>G146/J136</f>
        <v>1854.8990273274665</v>
      </c>
    </row>
    <row r="147" spans="1:11" ht="15.75" customHeight="1">
      <c r="A147" s="196" t="s">
        <v>228</v>
      </c>
      <c r="B147" s="193"/>
      <c r="C147" s="194"/>
      <c r="D147" s="197" t="s">
        <v>211</v>
      </c>
      <c r="E147" s="188"/>
      <c r="F147" s="198">
        <f>ROUND(G147*1.04,0)</f>
        <v>98303</v>
      </c>
      <c r="G147" s="188">
        <v>94522</v>
      </c>
      <c r="H147" s="197" t="e">
        <f>E147*1000/H129</f>
        <v>#REF!</v>
      </c>
      <c r="I147" s="188" t="e">
        <f>F147*1000/H129</f>
        <v>#REF!</v>
      </c>
      <c r="J147" s="199" t="e">
        <f>G147*1000/H129</f>
        <v>#REF!</v>
      </c>
    </row>
    <row r="148" spans="1:11" ht="15.75" customHeight="1">
      <c r="A148" s="10" t="s">
        <v>210</v>
      </c>
      <c r="B148" s="25"/>
      <c r="C148" s="11"/>
      <c r="D148" s="50"/>
      <c r="E148" s="45"/>
      <c r="F148" s="195"/>
      <c r="G148" s="50"/>
      <c r="H148" s="50"/>
      <c r="I148" s="45"/>
      <c r="J148" s="46"/>
    </row>
    <row r="149" spans="1:11" ht="15.75" customHeight="1">
      <c r="A149" s="13" t="s">
        <v>558</v>
      </c>
      <c r="B149" s="26"/>
      <c r="C149" s="14"/>
      <c r="D149" s="51" t="s">
        <v>323</v>
      </c>
      <c r="E149" s="44"/>
      <c r="F149" s="198">
        <f>G149</f>
        <v>672090</v>
      </c>
      <c r="G149" s="188">
        <v>672090</v>
      </c>
      <c r="H149" s="200" t="e">
        <f>E149*1000/H129</f>
        <v>#REF!</v>
      </c>
      <c r="I149" s="47" t="e">
        <f>F149*1000/H129</f>
        <v>#REF!</v>
      </c>
      <c r="J149" s="201" t="e">
        <f>G149*1000/H129</f>
        <v>#REF!</v>
      </c>
    </row>
    <row r="150" spans="1:11" ht="15.75" customHeight="1">
      <c r="A150" s="10" t="s">
        <v>558</v>
      </c>
      <c r="B150" s="25"/>
      <c r="C150" s="11"/>
      <c r="E150" s="47"/>
      <c r="G150" s="200"/>
      <c r="H150" s="50"/>
      <c r="I150" s="45"/>
      <c r="J150" s="46"/>
    </row>
    <row r="151" spans="1:11" ht="15.75" customHeight="1">
      <c r="A151" s="106" t="s">
        <v>246</v>
      </c>
      <c r="C151" s="191"/>
      <c r="E151" s="47"/>
      <c r="G151" s="200"/>
      <c r="H151" s="200"/>
      <c r="I151" s="47"/>
      <c r="J151" s="201"/>
    </row>
    <row r="152" spans="1:11" ht="19.5" customHeight="1">
      <c r="A152" s="13" t="s">
        <v>245</v>
      </c>
      <c r="B152" s="26"/>
      <c r="C152" s="14"/>
      <c r="D152" s="42" t="s">
        <v>215</v>
      </c>
      <c r="E152" s="47">
        <f>E146+E147-E149</f>
        <v>0</v>
      </c>
      <c r="F152" s="47">
        <f>F146+F147-F149</f>
        <v>3432698</v>
      </c>
      <c r="G152" s="200">
        <f>G146+G147-G149</f>
        <v>3427159</v>
      </c>
      <c r="H152" s="51" t="e">
        <f>E152*1000/H129</f>
        <v>#REF!</v>
      </c>
      <c r="I152" s="44" t="e">
        <f>F152*1000/H129</f>
        <v>#REF!</v>
      </c>
      <c r="J152" s="48" t="e">
        <f>G152*1000/H129</f>
        <v>#REF!</v>
      </c>
    </row>
    <row r="153" spans="1:11" ht="19.5" customHeight="1">
      <c r="A153" s="98" t="s">
        <v>214</v>
      </c>
      <c r="B153" s="80"/>
      <c r="C153" s="99"/>
      <c r="D153" s="197"/>
      <c r="E153" s="188"/>
      <c r="F153" s="198"/>
      <c r="G153" s="188"/>
      <c r="H153" s="202"/>
      <c r="I153" s="44"/>
      <c r="J153" s="48"/>
    </row>
    <row r="154" spans="1:11" ht="19.5" customHeight="1">
      <c r="A154" s="196" t="s">
        <v>213</v>
      </c>
      <c r="B154" s="193"/>
      <c r="C154" s="194"/>
      <c r="D154" s="197" t="s">
        <v>227</v>
      </c>
      <c r="E154" s="188"/>
      <c r="F154" s="198">
        <f>ROUND(G154*1.04,0)</f>
        <v>124615</v>
      </c>
      <c r="G154" s="188">
        <v>119822</v>
      </c>
      <c r="H154" s="195" t="e">
        <f>E154*1000/H129</f>
        <v>#REF!</v>
      </c>
      <c r="I154" s="45" t="e">
        <f>F154*1000/H129</f>
        <v>#REF!</v>
      </c>
      <c r="J154" s="46" t="e">
        <f>G154*1000/H129</f>
        <v>#REF!</v>
      </c>
    </row>
    <row r="155" spans="1:11" ht="19.5" customHeight="1">
      <c r="A155" s="10" t="s">
        <v>585</v>
      </c>
      <c r="B155" s="25"/>
      <c r="C155" s="11"/>
      <c r="E155" s="45"/>
      <c r="G155" s="50"/>
      <c r="H155" s="50"/>
      <c r="I155" s="45"/>
      <c r="J155" s="46"/>
    </row>
    <row r="156" spans="1:11" ht="18" customHeight="1">
      <c r="A156" s="106" t="s">
        <v>584</v>
      </c>
      <c r="C156" s="191"/>
      <c r="E156" s="47"/>
      <c r="G156" s="200"/>
      <c r="H156" s="200"/>
      <c r="I156" s="47"/>
      <c r="J156" s="201"/>
    </row>
    <row r="157" spans="1:11" ht="18" customHeight="1">
      <c r="A157" s="13" t="s">
        <v>583</v>
      </c>
      <c r="B157" s="26"/>
      <c r="C157" s="14"/>
      <c r="D157" s="42" t="s">
        <v>532</v>
      </c>
      <c r="E157" s="47"/>
      <c r="F157" s="198">
        <f>ROUND(G157*1.04,0)</f>
        <v>125883</v>
      </c>
      <c r="G157" s="188">
        <v>121041</v>
      </c>
      <c r="H157" s="200" t="e">
        <f>E157*1000/H129</f>
        <v>#REF!</v>
      </c>
      <c r="I157" s="47" t="e">
        <f>F157*1000/H129</f>
        <v>#REF!</v>
      </c>
      <c r="J157" s="201" t="e">
        <f>G157*1000/H129</f>
        <v>#REF!</v>
      </c>
    </row>
    <row r="158" spans="1:11" ht="18" customHeight="1">
      <c r="A158" s="10" t="s">
        <v>529</v>
      </c>
      <c r="B158" s="25"/>
      <c r="C158" s="11"/>
      <c r="D158" s="50"/>
      <c r="E158" s="45"/>
      <c r="F158" s="195"/>
      <c r="G158" s="50"/>
      <c r="H158" s="50"/>
      <c r="I158" s="45"/>
      <c r="J158" s="46"/>
    </row>
    <row r="159" spans="1:11" ht="18" customHeight="1">
      <c r="A159" s="13" t="s">
        <v>528</v>
      </c>
      <c r="B159" s="26"/>
      <c r="C159" s="14"/>
      <c r="D159" s="51" t="s">
        <v>527</v>
      </c>
      <c r="E159" s="44"/>
      <c r="F159" s="198">
        <f>ROUND(G159*1.04,0)</f>
        <v>31470</v>
      </c>
      <c r="G159" s="198">
        <f>ROUND(G157*0.25,0)</f>
        <v>30260</v>
      </c>
      <c r="H159" s="51" t="e">
        <f>E159*1000/H129</f>
        <v>#REF!</v>
      </c>
      <c r="I159" s="44" t="e">
        <f>F159*1000/H129</f>
        <v>#REF!</v>
      </c>
      <c r="J159" s="48" t="e">
        <f>G159*1000/H129</f>
        <v>#REF!</v>
      </c>
    </row>
    <row r="160" spans="1:11" ht="18" customHeight="1">
      <c r="A160" s="106" t="s">
        <v>526</v>
      </c>
      <c r="C160" s="191"/>
      <c r="E160" s="47"/>
      <c r="G160" s="200"/>
      <c r="H160" s="200"/>
      <c r="I160" s="47"/>
      <c r="J160" s="201"/>
    </row>
    <row r="161" spans="1:10" ht="18" customHeight="1">
      <c r="A161" s="13" t="s">
        <v>525</v>
      </c>
      <c r="B161" s="26"/>
      <c r="C161" s="14"/>
      <c r="D161" s="42" t="s">
        <v>369</v>
      </c>
      <c r="E161" s="47"/>
      <c r="F161" s="198">
        <f>ROUND(G161*1.04,0)</f>
        <v>62628</v>
      </c>
      <c r="G161" s="188">
        <v>60219</v>
      </c>
      <c r="H161" s="51" t="e">
        <f>E161*1000/H129</f>
        <v>#REF!</v>
      </c>
      <c r="I161" s="44" t="e">
        <f>F161*1000/H129</f>
        <v>#REF!</v>
      </c>
      <c r="J161" s="48" t="e">
        <f>G161*1000/H129</f>
        <v>#REF!</v>
      </c>
    </row>
    <row r="162" spans="1:10" ht="18" customHeight="1">
      <c r="A162" s="10" t="s">
        <v>368</v>
      </c>
      <c r="B162" s="25"/>
      <c r="C162" s="11"/>
      <c r="D162" s="50"/>
      <c r="E162" s="45"/>
      <c r="F162" s="195"/>
      <c r="G162" s="45"/>
      <c r="I162" s="47"/>
      <c r="J162" s="47"/>
    </row>
    <row r="163" spans="1:10" ht="18" customHeight="1">
      <c r="A163" s="13" t="s">
        <v>418</v>
      </c>
      <c r="B163" s="26"/>
      <c r="C163" s="14"/>
      <c r="D163" s="51" t="s">
        <v>662</v>
      </c>
      <c r="E163" s="44">
        <f>E154+E157+E159+E161</f>
        <v>0</v>
      </c>
      <c r="F163" s="44">
        <f>F154+F157+F159+F161</f>
        <v>344596</v>
      </c>
      <c r="G163" s="44">
        <f>G154+G157+G159+G161</f>
        <v>331342</v>
      </c>
      <c r="H163" s="44" t="e">
        <f>E163*1000/H129</f>
        <v>#REF!</v>
      </c>
      <c r="I163" s="44" t="e">
        <f>F163*1000/H129</f>
        <v>#REF!</v>
      </c>
      <c r="J163" s="44" t="e">
        <f>G163*1000/H129</f>
        <v>#REF!</v>
      </c>
    </row>
    <row r="164" spans="1:10" ht="18" customHeight="1">
      <c r="A164" s="106"/>
      <c r="C164" s="191"/>
      <c r="E164" s="47"/>
      <c r="G164" s="45"/>
      <c r="I164" s="47"/>
      <c r="J164" s="47"/>
    </row>
    <row r="165" spans="1:10" ht="18" customHeight="1">
      <c r="A165" s="106"/>
      <c r="C165" s="191"/>
      <c r="E165" s="47"/>
      <c r="G165" s="47"/>
      <c r="I165" s="44" t="e">
        <f>F165*1000/H129</f>
        <v>#REF!</v>
      </c>
      <c r="J165" s="44" t="e">
        <f>G165*1000/I129</f>
        <v>#DIV/0!</v>
      </c>
    </row>
    <row r="166" spans="1:10" ht="18" customHeight="1">
      <c r="A166" s="10" t="s">
        <v>661</v>
      </c>
      <c r="B166" s="25"/>
      <c r="C166" s="11"/>
      <c r="E166" s="47"/>
      <c r="G166" s="47"/>
      <c r="I166" s="47"/>
      <c r="J166" s="47"/>
    </row>
    <row r="167" spans="1:10" ht="18" customHeight="1">
      <c r="A167" s="106" t="s">
        <v>516</v>
      </c>
      <c r="C167" s="191"/>
      <c r="D167" s="42" t="s">
        <v>515</v>
      </c>
      <c r="E167" s="47">
        <f>E152+E163</f>
        <v>0</v>
      </c>
      <c r="F167" s="200">
        <f>F152+F163+F165</f>
        <v>3777294</v>
      </c>
      <c r="G167" s="44">
        <f>G152+G163+G165</f>
        <v>3758501</v>
      </c>
      <c r="H167" s="201" t="e">
        <f>E167*1000/H129</f>
        <v>#REF!</v>
      </c>
      <c r="I167" s="47" t="e">
        <f>F167*1000/H129</f>
        <v>#REF!</v>
      </c>
      <c r="J167" s="47" t="e">
        <f>G167*1000/H129</f>
        <v>#REF!</v>
      </c>
    </row>
    <row r="168" spans="1:10" ht="18" customHeight="1">
      <c r="A168" s="10" t="s">
        <v>514</v>
      </c>
      <c r="B168" s="25"/>
      <c r="C168" s="11"/>
      <c r="D168" s="50"/>
      <c r="E168" s="45"/>
      <c r="F168" s="195"/>
      <c r="G168" s="45"/>
      <c r="H168" s="50"/>
      <c r="I168" s="45"/>
      <c r="J168" s="46"/>
    </row>
    <row r="169" spans="1:10" ht="18" customHeight="1">
      <c r="A169" s="13" t="s">
        <v>393</v>
      </c>
      <c r="B169" s="26"/>
      <c r="C169" s="14"/>
      <c r="D169" s="51" t="s">
        <v>540</v>
      </c>
      <c r="E169" s="44"/>
      <c r="F169" s="202" t="e">
        <f>'Вспом-1'!D11</f>
        <v>#REF!</v>
      </c>
      <c r="G169" s="202" t="e">
        <f>'Вспом-1'!E11</f>
        <v>#REF!</v>
      </c>
      <c r="H169" s="51" t="e">
        <f>E169*1000/H129</f>
        <v>#REF!</v>
      </c>
      <c r="I169" s="44" t="e">
        <f>F169*1000/H129</f>
        <v>#REF!</v>
      </c>
      <c r="J169" s="48" t="e">
        <f>G169*1000/H129</f>
        <v>#REF!</v>
      </c>
    </row>
    <row r="170" spans="1:10" ht="15.75" customHeight="1">
      <c r="F170" s="203" t="e">
        <f>'Вспом-1'!G11-F167</f>
        <v>#REF!</v>
      </c>
      <c r="G170" s="203" t="e">
        <f>#REF!-G167</f>
        <v>#REF!</v>
      </c>
      <c r="J170" s="42"/>
    </row>
    <row r="171" spans="1:10" ht="15.75" customHeight="1">
      <c r="J171" s="42"/>
    </row>
    <row r="172" spans="1:10" ht="15.75" customHeight="1">
      <c r="J172" s="42"/>
    </row>
    <row r="173" spans="1:10" ht="15.75" customHeight="1">
      <c r="J173" s="42"/>
    </row>
    <row r="174" spans="1:10" ht="15.75" customHeight="1">
      <c r="J174" s="42"/>
    </row>
    <row r="175" spans="1:10" ht="15.75" customHeight="1">
      <c r="J175" s="42"/>
    </row>
    <row r="176" spans="1:10" ht="15.75" customHeight="1">
      <c r="J176" s="42"/>
    </row>
    <row r="177" spans="1:19" ht="15.75" customHeight="1">
      <c r="J177" s="42"/>
    </row>
    <row r="178" spans="1:19">
      <c r="J178" s="42"/>
    </row>
    <row r="179" spans="1:19">
      <c r="J179" s="42"/>
    </row>
    <row r="180" spans="1:19">
      <c r="J180" s="42"/>
    </row>
    <row r="181" spans="1:19">
      <c r="J181" s="42"/>
    </row>
    <row r="182" spans="1:19" ht="17.25" customHeight="1">
      <c r="A182" t="s">
        <v>503</v>
      </c>
      <c r="E182" s="42" t="s">
        <v>331</v>
      </c>
      <c r="H182" s="42" t="e">
        <f>#REF!</f>
        <v>#REF!</v>
      </c>
      <c r="J182" s="42"/>
    </row>
    <row r="183" spans="1:19" ht="17.25" customHeight="1">
      <c r="E183" s="42" t="s">
        <v>413</v>
      </c>
      <c r="H183" s="42">
        <f>J189</f>
        <v>174</v>
      </c>
      <c r="J183" s="42"/>
    </row>
    <row r="184" spans="1:19" ht="17.25" customHeight="1">
      <c r="E184" s="42" t="s">
        <v>412</v>
      </c>
      <c r="J184" s="42"/>
    </row>
    <row r="185" spans="1:19" ht="17.25" customHeight="1">
      <c r="E185" s="188" t="s">
        <v>684</v>
      </c>
      <c r="F185" s="188" t="s">
        <v>683</v>
      </c>
      <c r="G185" s="188" t="s">
        <v>682</v>
      </c>
      <c r="H185" s="188" t="s">
        <v>681</v>
      </c>
      <c r="I185" s="188" t="s">
        <v>680</v>
      </c>
      <c r="J185" s="188" t="s">
        <v>354</v>
      </c>
    </row>
    <row r="186" spans="1:19" ht="17.25" customHeight="1">
      <c r="D186" s="42" t="s">
        <v>679</v>
      </c>
      <c r="E186" s="188"/>
      <c r="F186" s="188">
        <v>174</v>
      </c>
      <c r="G186" s="188"/>
      <c r="H186" s="188"/>
      <c r="I186" s="188"/>
      <c r="J186" s="188">
        <f>E186+F186+G186+H186+I186</f>
        <v>174</v>
      </c>
      <c r="K186" s="42">
        <f>E186*2056.79+F186*1880.06</f>
        <v>327130.44</v>
      </c>
      <c r="L186" s="203"/>
    </row>
    <row r="187" spans="1:19" ht="17.25" customHeight="1">
      <c r="D187" s="42" t="s">
        <v>242</v>
      </c>
      <c r="E187" s="188"/>
      <c r="F187" s="188"/>
      <c r="G187" s="188"/>
      <c r="H187" s="188"/>
      <c r="I187" s="188"/>
      <c r="J187" s="188">
        <f>E187+F187+G187+H187+I187</f>
        <v>0</v>
      </c>
      <c r="K187" s="42">
        <f>E187*1281.28</f>
        <v>0</v>
      </c>
    </row>
    <row r="188" spans="1:19" ht="17.25" customHeight="1">
      <c r="D188" s="42" t="s">
        <v>387</v>
      </c>
      <c r="E188" s="188"/>
      <c r="F188" s="188"/>
      <c r="G188" s="188"/>
      <c r="H188" s="188"/>
      <c r="I188" s="188"/>
      <c r="J188" s="188">
        <f>E188+F188+G188+H188+I188</f>
        <v>0</v>
      </c>
      <c r="K188" s="42">
        <f>I188*509.5</f>
        <v>0</v>
      </c>
    </row>
    <row r="189" spans="1:19" ht="17.25" customHeight="1">
      <c r="D189" s="42" t="s">
        <v>354</v>
      </c>
      <c r="E189" s="45">
        <f t="shared" ref="E189:J189" si="2">E186+E187+E188</f>
        <v>0</v>
      </c>
      <c r="F189" s="45">
        <f t="shared" si="2"/>
        <v>174</v>
      </c>
      <c r="G189" s="45">
        <f t="shared" si="2"/>
        <v>0</v>
      </c>
      <c r="H189" s="45">
        <f t="shared" si="2"/>
        <v>0</v>
      </c>
      <c r="I189" s="45">
        <f t="shared" si="2"/>
        <v>0</v>
      </c>
      <c r="J189" s="45">
        <f t="shared" si="2"/>
        <v>174</v>
      </c>
      <c r="K189" s="42">
        <f>SUM(K186:K188)</f>
        <v>327130.44</v>
      </c>
      <c r="N189" s="42"/>
      <c r="O189" s="42"/>
      <c r="P189" s="42"/>
      <c r="Q189" s="42"/>
      <c r="R189" s="42"/>
      <c r="S189" s="42"/>
    </row>
    <row r="190" spans="1:19" ht="17.25" customHeight="1">
      <c r="A190" s="327" t="s">
        <v>348</v>
      </c>
      <c r="B190" s="328"/>
      <c r="C190" s="329"/>
      <c r="D190" s="183" t="s">
        <v>347</v>
      </c>
      <c r="E190" s="321" t="s">
        <v>429</v>
      </c>
      <c r="F190" s="321"/>
      <c r="G190" s="322"/>
      <c r="H190" s="320" t="s">
        <v>533</v>
      </c>
      <c r="I190" s="321"/>
      <c r="J190" s="322"/>
    </row>
    <row r="191" spans="1:19" ht="17.25" customHeight="1">
      <c r="A191" s="323" t="s">
        <v>342</v>
      </c>
      <c r="B191" s="324"/>
      <c r="C191" s="325"/>
      <c r="D191" s="190" t="s">
        <v>649</v>
      </c>
      <c r="E191" s="186" t="s">
        <v>648</v>
      </c>
      <c r="F191" s="183" t="s">
        <v>377</v>
      </c>
      <c r="G191" s="186" t="s">
        <v>379</v>
      </c>
      <c r="H191" s="183" t="s">
        <v>378</v>
      </c>
      <c r="I191" s="190" t="s">
        <v>377</v>
      </c>
      <c r="J191" s="183" t="s">
        <v>376</v>
      </c>
    </row>
    <row r="192" spans="1:19" ht="17.25" customHeight="1">
      <c r="A192" s="106"/>
      <c r="C192" s="191"/>
      <c r="D192" s="190" t="s">
        <v>302</v>
      </c>
      <c r="E192" s="186" t="s">
        <v>375</v>
      </c>
      <c r="F192" s="190" t="s">
        <v>588</v>
      </c>
      <c r="G192" s="186" t="s">
        <v>420</v>
      </c>
      <c r="H192" s="190" t="s">
        <v>645</v>
      </c>
      <c r="I192" s="190" t="s">
        <v>353</v>
      </c>
      <c r="J192" s="190" t="s">
        <v>353</v>
      </c>
    </row>
    <row r="193" spans="1:11" ht="17.25" customHeight="1">
      <c r="A193" s="106"/>
      <c r="C193" s="191"/>
      <c r="D193" s="190"/>
      <c r="E193" s="186" t="s">
        <v>644</v>
      </c>
      <c r="F193" s="190" t="s">
        <v>643</v>
      </c>
      <c r="G193" s="186" t="s">
        <v>250</v>
      </c>
      <c r="H193" s="190" t="s">
        <v>353</v>
      </c>
      <c r="I193" s="186"/>
      <c r="J193" s="190"/>
    </row>
    <row r="194" spans="1:11" ht="17.25" customHeight="1">
      <c r="A194" s="106"/>
      <c r="C194" s="191"/>
      <c r="D194" s="190"/>
      <c r="E194" s="186" t="s">
        <v>360</v>
      </c>
      <c r="F194" s="190" t="s">
        <v>360</v>
      </c>
      <c r="G194" s="186" t="s">
        <v>359</v>
      </c>
      <c r="H194" s="190"/>
      <c r="I194" s="186"/>
      <c r="J194" s="190"/>
    </row>
    <row r="195" spans="1:11" ht="17.25" customHeight="1">
      <c r="A195" s="106"/>
      <c r="C195" s="191"/>
      <c r="D195" s="190"/>
      <c r="E195" s="186" t="s">
        <v>358</v>
      </c>
      <c r="F195" s="190" t="s">
        <v>358</v>
      </c>
      <c r="G195" s="186" t="s">
        <v>357</v>
      </c>
      <c r="H195" s="190"/>
      <c r="I195" s="186"/>
      <c r="J195" s="190"/>
    </row>
    <row r="196" spans="1:11" ht="17.25" customHeight="1">
      <c r="A196" s="13"/>
      <c r="B196" s="26"/>
      <c r="C196" s="14"/>
      <c r="D196" s="43"/>
      <c r="E196" s="192" t="s">
        <v>591</v>
      </c>
      <c r="F196" s="43" t="s">
        <v>591</v>
      </c>
      <c r="G196" s="192"/>
      <c r="H196" s="43"/>
      <c r="I196" s="192"/>
      <c r="J196" s="43"/>
    </row>
    <row r="197" spans="1:11" ht="17.25" customHeight="1">
      <c r="A197" s="326"/>
      <c r="B197" s="326"/>
      <c r="C197" s="326"/>
      <c r="D197" s="41"/>
      <c r="E197" s="41">
        <v>1</v>
      </c>
      <c r="F197" s="41">
        <v>2</v>
      </c>
      <c r="G197" s="41">
        <v>3</v>
      </c>
      <c r="H197" s="41">
        <v>4</v>
      </c>
      <c r="I197" s="41">
        <v>5</v>
      </c>
      <c r="J197" s="41">
        <v>6</v>
      </c>
    </row>
    <row r="198" spans="1:11" ht="17.25" customHeight="1">
      <c r="A198" s="97" t="s">
        <v>651</v>
      </c>
      <c r="B198" s="193"/>
      <c r="C198" s="194"/>
      <c r="D198" s="50"/>
      <c r="E198" s="45"/>
      <c r="F198" s="195"/>
      <c r="G198" s="45"/>
      <c r="H198" s="195"/>
      <c r="I198" s="45"/>
      <c r="J198" s="46"/>
    </row>
    <row r="199" spans="1:11" ht="17.25" customHeight="1">
      <c r="A199" s="196" t="s">
        <v>334</v>
      </c>
      <c r="B199" s="193"/>
      <c r="C199" s="194"/>
      <c r="D199" s="197" t="s">
        <v>229</v>
      </c>
      <c r="E199" s="188"/>
      <c r="F199" s="198">
        <f>ROUND(G199*1.04,0)-11783</f>
        <v>328432</v>
      </c>
      <c r="G199" s="188">
        <f>ROUND(K189,0)</f>
        <v>327130</v>
      </c>
      <c r="H199" s="198" t="e">
        <f>E199*1000/H182</f>
        <v>#REF!</v>
      </c>
      <c r="I199" s="188" t="e">
        <f>F199*1000/H182</f>
        <v>#REF!</v>
      </c>
      <c r="J199" s="199" t="e">
        <f>G199*1000/H182</f>
        <v>#REF!</v>
      </c>
      <c r="K199" s="42">
        <f>G199/J189</f>
        <v>1880.0574712643679</v>
      </c>
    </row>
    <row r="200" spans="1:11" ht="17.25" customHeight="1">
      <c r="A200" s="196" t="s">
        <v>228</v>
      </c>
      <c r="B200" s="193"/>
      <c r="C200" s="194"/>
      <c r="D200" s="197" t="s">
        <v>211</v>
      </c>
      <c r="E200" s="188"/>
      <c r="F200" s="198">
        <f>ROUND(G200*1.04,0)</f>
        <v>7831</v>
      </c>
      <c r="G200" s="188">
        <v>7530</v>
      </c>
      <c r="H200" s="198" t="e">
        <f>E200*1000/H182</f>
        <v>#REF!</v>
      </c>
      <c r="I200" s="188" t="e">
        <f>F200*1000/H182</f>
        <v>#REF!</v>
      </c>
      <c r="J200" s="199" t="e">
        <f>G200*1000/H182</f>
        <v>#REF!</v>
      </c>
    </row>
    <row r="201" spans="1:11" ht="17.25" customHeight="1">
      <c r="A201" s="10" t="s">
        <v>210</v>
      </c>
      <c r="B201" s="25"/>
      <c r="C201" s="11"/>
      <c r="D201" s="50"/>
      <c r="E201" s="45"/>
      <c r="F201" s="195"/>
      <c r="G201" s="50"/>
      <c r="H201" s="50"/>
      <c r="I201" s="45"/>
      <c r="J201" s="46"/>
    </row>
    <row r="202" spans="1:11" ht="17.25" customHeight="1">
      <c r="A202" s="13" t="s">
        <v>558</v>
      </c>
      <c r="B202" s="26"/>
      <c r="C202" s="14"/>
      <c r="D202" s="51" t="s">
        <v>323</v>
      </c>
      <c r="E202" s="44"/>
      <c r="F202" s="198">
        <f>G202</f>
        <v>51598</v>
      </c>
      <c r="G202" s="188">
        <v>51598</v>
      </c>
      <c r="H202" s="200" t="e">
        <f>E202*1000/H182</f>
        <v>#REF!</v>
      </c>
      <c r="I202" s="47" t="e">
        <f>F202*1000/H182</f>
        <v>#REF!</v>
      </c>
      <c r="J202" s="201" t="e">
        <f>G202*1000/H182</f>
        <v>#REF!</v>
      </c>
    </row>
    <row r="203" spans="1:11" ht="17.25" customHeight="1">
      <c r="A203" s="10" t="s">
        <v>558</v>
      </c>
      <c r="B203" s="25"/>
      <c r="C203" s="11"/>
      <c r="E203" s="47"/>
      <c r="G203" s="200"/>
      <c r="H203" s="50"/>
      <c r="I203" s="45"/>
      <c r="J203" s="46"/>
    </row>
    <row r="204" spans="1:11" ht="17.25" customHeight="1">
      <c r="A204" s="106" t="s">
        <v>246</v>
      </c>
      <c r="C204" s="191"/>
      <c r="E204" s="47"/>
      <c r="G204" s="200"/>
      <c r="H204" s="200"/>
      <c r="I204" s="47"/>
      <c r="J204" s="201"/>
    </row>
    <row r="205" spans="1:11" ht="17.25" customHeight="1">
      <c r="A205" s="13" t="s">
        <v>245</v>
      </c>
      <c r="B205" s="26"/>
      <c r="C205" s="14"/>
      <c r="D205" s="42" t="s">
        <v>215</v>
      </c>
      <c r="E205" s="47">
        <f>E199+E200-E202</f>
        <v>0</v>
      </c>
      <c r="F205" s="47">
        <f>F199+F200-F202</f>
        <v>284665</v>
      </c>
      <c r="G205" s="200">
        <f>G199+G200-G202</f>
        <v>283062</v>
      </c>
      <c r="H205" s="51" t="e">
        <f>E205*1000/H182</f>
        <v>#REF!</v>
      </c>
      <c r="I205" s="44" t="e">
        <f>F205*1000/H182</f>
        <v>#REF!</v>
      </c>
      <c r="J205" s="48" t="e">
        <f>G205*1000/H182</f>
        <v>#REF!</v>
      </c>
    </row>
    <row r="206" spans="1:11" ht="17.25" customHeight="1">
      <c r="A206" s="98" t="s">
        <v>214</v>
      </c>
      <c r="B206" s="80"/>
      <c r="C206" s="99"/>
      <c r="D206" s="197"/>
      <c r="E206" s="188"/>
      <c r="F206" s="198"/>
      <c r="G206" s="188"/>
      <c r="H206" s="202"/>
      <c r="I206" s="44"/>
      <c r="J206" s="48"/>
    </row>
    <row r="207" spans="1:11" ht="17.25" customHeight="1">
      <c r="A207" s="196" t="s">
        <v>213</v>
      </c>
      <c r="B207" s="193"/>
      <c r="C207" s="194"/>
      <c r="D207" s="197" t="s">
        <v>227</v>
      </c>
      <c r="E207" s="188"/>
      <c r="F207" s="198">
        <f>ROUND(G207*1.04,0)</f>
        <v>9842</v>
      </c>
      <c r="G207" s="188">
        <v>9463</v>
      </c>
      <c r="H207" s="195" t="e">
        <f>E207*1000/H182</f>
        <v>#REF!</v>
      </c>
      <c r="I207" s="45" t="e">
        <f>F207*1000/H182</f>
        <v>#REF!</v>
      </c>
      <c r="J207" s="46" t="e">
        <f>G207*1000/H182</f>
        <v>#REF!</v>
      </c>
    </row>
    <row r="208" spans="1:11" ht="17.25" customHeight="1">
      <c r="A208" s="10" t="s">
        <v>585</v>
      </c>
      <c r="B208" s="25"/>
      <c r="C208" s="11"/>
      <c r="E208" s="45"/>
      <c r="G208" s="50"/>
      <c r="H208" s="50"/>
      <c r="I208" s="45"/>
      <c r="J208" s="46"/>
    </row>
    <row r="209" spans="1:10" ht="17.25" customHeight="1">
      <c r="A209" s="106" t="s">
        <v>584</v>
      </c>
      <c r="C209" s="191"/>
      <c r="E209" s="47"/>
      <c r="G209" s="200"/>
      <c r="H209" s="200"/>
      <c r="I209" s="47"/>
      <c r="J209" s="201"/>
    </row>
    <row r="210" spans="1:10" ht="17.25" customHeight="1">
      <c r="A210" s="13" t="s">
        <v>583</v>
      </c>
      <c r="B210" s="26"/>
      <c r="C210" s="14"/>
      <c r="D210" s="42" t="s">
        <v>532</v>
      </c>
      <c r="E210" s="47"/>
      <c r="F210" s="198">
        <f>ROUND(G210*1.04,0)</f>
        <v>10007</v>
      </c>
      <c r="G210" s="188">
        <v>9622</v>
      </c>
      <c r="H210" s="200" t="e">
        <f>E210*1000/H182</f>
        <v>#REF!</v>
      </c>
      <c r="I210" s="47" t="e">
        <f>F210*1000/H182</f>
        <v>#REF!</v>
      </c>
      <c r="J210" s="201" t="e">
        <f>G210*1000/H182</f>
        <v>#REF!</v>
      </c>
    </row>
    <row r="211" spans="1:10" ht="17.25" customHeight="1">
      <c r="A211" s="10" t="s">
        <v>529</v>
      </c>
      <c r="B211" s="25"/>
      <c r="C211" s="11"/>
      <c r="D211" s="50"/>
      <c r="E211" s="45"/>
      <c r="F211" s="195"/>
      <c r="G211" s="45"/>
      <c r="H211" s="50"/>
      <c r="I211" s="45"/>
      <c r="J211" s="46"/>
    </row>
    <row r="212" spans="1:10" ht="17.25" customHeight="1">
      <c r="A212" s="13" t="s">
        <v>528</v>
      </c>
      <c r="B212" s="26"/>
      <c r="C212" s="14"/>
      <c r="D212" s="51" t="s">
        <v>527</v>
      </c>
      <c r="E212" s="44"/>
      <c r="F212" s="198">
        <f>ROUND(G212*1.04,0)</f>
        <v>2502</v>
      </c>
      <c r="G212" s="198">
        <f>ROUND(G210*0.25,0)</f>
        <v>2406</v>
      </c>
      <c r="H212" s="51" t="e">
        <f>E212*1000/H182</f>
        <v>#REF!</v>
      </c>
      <c r="I212" s="44" t="e">
        <f>F212*1000/H182</f>
        <v>#REF!</v>
      </c>
      <c r="J212" s="48" t="e">
        <f>G212*1000/H182</f>
        <v>#REF!</v>
      </c>
    </row>
    <row r="213" spans="1:10" ht="17.25" customHeight="1">
      <c r="A213" s="106" t="s">
        <v>526</v>
      </c>
      <c r="C213" s="191"/>
      <c r="E213" s="47"/>
      <c r="G213" s="200"/>
      <c r="H213" s="200"/>
      <c r="I213" s="47"/>
      <c r="J213" s="201"/>
    </row>
    <row r="214" spans="1:10" ht="17.25" customHeight="1">
      <c r="A214" s="13" t="s">
        <v>525</v>
      </c>
      <c r="B214" s="26"/>
      <c r="C214" s="14"/>
      <c r="D214" s="42" t="s">
        <v>369</v>
      </c>
      <c r="E214" s="47"/>
      <c r="F214" s="198">
        <f>ROUND(G214*1.04,0)-11199</f>
        <v>293610</v>
      </c>
      <c r="G214" s="188">
        <v>293085.3</v>
      </c>
      <c r="H214" s="51" t="e">
        <f>E214*1000/H182</f>
        <v>#REF!</v>
      </c>
      <c r="I214" s="44" t="e">
        <f>F214*1000/H182</f>
        <v>#REF!</v>
      </c>
      <c r="J214" s="48" t="e">
        <f>G214*1000/H182</f>
        <v>#REF!</v>
      </c>
    </row>
    <row r="215" spans="1:10" ht="17.25" customHeight="1">
      <c r="A215" s="10" t="s">
        <v>368</v>
      </c>
      <c r="B215" s="25"/>
      <c r="C215" s="11"/>
      <c r="D215" s="50"/>
      <c r="E215" s="45"/>
      <c r="F215" s="195"/>
      <c r="G215" s="45"/>
      <c r="I215" s="47"/>
      <c r="J215" s="47"/>
    </row>
    <row r="216" spans="1:10" ht="17.25" customHeight="1">
      <c r="A216" s="13" t="s">
        <v>418</v>
      </c>
      <c r="B216" s="26"/>
      <c r="C216" s="14"/>
      <c r="D216" s="51" t="s">
        <v>662</v>
      </c>
      <c r="E216" s="44">
        <f>E207+E210+E212+E214</f>
        <v>0</v>
      </c>
      <c r="F216" s="44">
        <f>F207+F210+F212+F214</f>
        <v>315961</v>
      </c>
      <c r="G216" s="44">
        <f>G207+G210+G212+G214</f>
        <v>314576.3</v>
      </c>
      <c r="H216" s="44" t="e">
        <f>E216*1000/H182</f>
        <v>#REF!</v>
      </c>
      <c r="I216" s="44" t="e">
        <f>F216*1000/H182</f>
        <v>#REF!</v>
      </c>
      <c r="J216" s="44" t="e">
        <f>G216*1000/H182</f>
        <v>#REF!</v>
      </c>
    </row>
    <row r="217" spans="1:10" ht="17.25" customHeight="1">
      <c r="A217" s="106"/>
      <c r="C217" s="191"/>
      <c r="E217" s="47"/>
      <c r="G217" s="45"/>
      <c r="I217" s="47"/>
      <c r="J217" s="47"/>
    </row>
    <row r="218" spans="1:10" ht="17.25" customHeight="1">
      <c r="A218" s="106" t="s">
        <v>262</v>
      </c>
      <c r="C218" s="191"/>
      <c r="E218" s="47"/>
      <c r="G218" s="47"/>
      <c r="I218" s="44" t="e">
        <f>F218*1000/H182</f>
        <v>#REF!</v>
      </c>
      <c r="J218" s="44" t="e">
        <f>G218*1000/I182</f>
        <v>#DIV/0!</v>
      </c>
    </row>
    <row r="219" spans="1:10" ht="17.25" customHeight="1">
      <c r="A219" s="10" t="s">
        <v>661</v>
      </c>
      <c r="B219" s="25"/>
      <c r="C219" s="11"/>
      <c r="E219" s="47"/>
      <c r="G219" s="47"/>
      <c r="I219" s="47"/>
      <c r="J219" s="47"/>
    </row>
    <row r="220" spans="1:10" ht="17.25" customHeight="1">
      <c r="A220" s="106" t="s">
        <v>516</v>
      </c>
      <c r="C220" s="191"/>
      <c r="D220" s="42" t="s">
        <v>515</v>
      </c>
      <c r="E220" s="47">
        <f>E205+E216</f>
        <v>0</v>
      </c>
      <c r="F220" s="200">
        <f>F205+F216+F218</f>
        <v>600626</v>
      </c>
      <c r="G220" s="44">
        <f>G205+G216+G218</f>
        <v>597638.30000000005</v>
      </c>
      <c r="H220" s="201" t="e">
        <f>E220*1000/H182</f>
        <v>#REF!</v>
      </c>
      <c r="I220" s="47" t="e">
        <f>F220*1000/H182</f>
        <v>#REF!</v>
      </c>
      <c r="J220" s="47" t="e">
        <f>G220*1000/H182</f>
        <v>#REF!</v>
      </c>
    </row>
    <row r="221" spans="1:10" ht="17.25" customHeight="1">
      <c r="A221" s="10" t="s">
        <v>514</v>
      </c>
      <c r="B221" s="25"/>
      <c r="C221" s="11"/>
      <c r="D221" s="50"/>
      <c r="E221" s="45"/>
      <c r="F221" s="195"/>
      <c r="G221" s="45"/>
      <c r="H221" s="50"/>
      <c r="I221" s="45"/>
      <c r="J221" s="46"/>
    </row>
    <row r="222" spans="1:10" ht="17.25" customHeight="1">
      <c r="A222" s="13" t="s">
        <v>393</v>
      </c>
      <c r="B222" s="26"/>
      <c r="C222" s="14"/>
      <c r="D222" s="51" t="s">
        <v>540</v>
      </c>
      <c r="E222" s="44"/>
      <c r="F222" s="202" t="e">
        <f>'Вспом-1'!D12</f>
        <v>#REF!</v>
      </c>
      <c r="G222" s="202" t="e">
        <f>'Вспом-1'!E12</f>
        <v>#REF!</v>
      </c>
      <c r="H222" s="51" t="e">
        <f>E222*1000/H182</f>
        <v>#REF!</v>
      </c>
      <c r="I222" s="44" t="e">
        <f>F222*1000/H182</f>
        <v>#REF!</v>
      </c>
      <c r="J222" s="48" t="e">
        <f>G222*1000/H182</f>
        <v>#REF!</v>
      </c>
    </row>
    <row r="223" spans="1:10" ht="17.25" customHeight="1">
      <c r="F223" s="203" t="e">
        <f>'Вспом-1'!G12-F220</f>
        <v>#REF!</v>
      </c>
      <c r="G223" s="203" t="e">
        <f>#REF!-'73-ХЛ'!G220</f>
        <v>#REF!</v>
      </c>
      <c r="J223" s="42"/>
    </row>
    <row r="224" spans="1:10">
      <c r="J224" s="42"/>
    </row>
    <row r="225" spans="1:10">
      <c r="J225" s="42"/>
    </row>
    <row r="226" spans="1:10">
      <c r="J226" s="42"/>
    </row>
    <row r="227" spans="1:10">
      <c r="J227" s="42"/>
    </row>
    <row r="228" spans="1:10">
      <c r="J228" s="42"/>
    </row>
    <row r="229" spans="1:10">
      <c r="J229" s="42"/>
    </row>
    <row r="230" spans="1:10">
      <c r="J230" s="42"/>
    </row>
    <row r="231" spans="1:10">
      <c r="J231" s="42"/>
    </row>
    <row r="232" spans="1:10">
      <c r="J232" s="42"/>
    </row>
    <row r="233" spans="1:10">
      <c r="J233" s="42"/>
    </row>
    <row r="234" spans="1:10">
      <c r="J234" s="42"/>
    </row>
    <row r="235" spans="1:10">
      <c r="J235" s="42"/>
    </row>
    <row r="236" spans="1:10">
      <c r="J236" s="42"/>
    </row>
    <row r="237" spans="1:10" ht="17.25" customHeight="1">
      <c r="A237" t="s">
        <v>503</v>
      </c>
      <c r="E237" s="42" t="s">
        <v>226</v>
      </c>
      <c r="H237" s="42" t="e">
        <f>#REF!</f>
        <v>#REF!</v>
      </c>
      <c r="J237" s="42"/>
    </row>
    <row r="238" spans="1:10" ht="17.25" customHeight="1">
      <c r="E238" s="42" t="s">
        <v>413</v>
      </c>
      <c r="H238" s="42">
        <f>J244</f>
        <v>0</v>
      </c>
      <c r="J238" s="42"/>
    </row>
    <row r="239" spans="1:10" ht="17.25" customHeight="1">
      <c r="E239" s="42" t="s">
        <v>412</v>
      </c>
      <c r="J239" s="42"/>
    </row>
    <row r="240" spans="1:10" ht="17.25" customHeight="1">
      <c r="E240" s="188" t="s">
        <v>684</v>
      </c>
      <c r="F240" s="188" t="s">
        <v>683</v>
      </c>
      <c r="G240" s="188" t="s">
        <v>682</v>
      </c>
      <c r="H240" s="188" t="s">
        <v>681</v>
      </c>
      <c r="I240" s="188" t="s">
        <v>680</v>
      </c>
      <c r="J240" s="188" t="s">
        <v>354</v>
      </c>
    </row>
    <row r="241" spans="1:19" ht="17.25" customHeight="1">
      <c r="D241" s="42" t="s">
        <v>679</v>
      </c>
      <c r="E241" s="188"/>
      <c r="F241" s="188"/>
      <c r="G241" s="188"/>
      <c r="H241" s="188"/>
      <c r="I241" s="188"/>
      <c r="J241" s="188">
        <f>E241+F241+G241+H241+I241</f>
        <v>0</v>
      </c>
      <c r="K241" s="42">
        <f>E241*1314.94+F241*1201.95+G241*1052.91+H241*783.67</f>
        <v>0</v>
      </c>
    </row>
    <row r="242" spans="1:19" ht="17.25" customHeight="1">
      <c r="D242" s="42" t="s">
        <v>242</v>
      </c>
      <c r="E242" s="188"/>
      <c r="F242" s="188"/>
      <c r="G242" s="188"/>
      <c r="H242" s="188"/>
      <c r="I242" s="188"/>
      <c r="J242" s="188">
        <f>E242+F242+G242+H242+I242</f>
        <v>0</v>
      </c>
      <c r="K242" s="42">
        <f>E242*1281.28</f>
        <v>0</v>
      </c>
    </row>
    <row r="243" spans="1:19" ht="17.25" customHeight="1">
      <c r="D243" s="42" t="s">
        <v>387</v>
      </c>
      <c r="E243" s="188"/>
      <c r="F243" s="188"/>
      <c r="G243" s="188"/>
      <c r="H243" s="188"/>
      <c r="I243" s="188"/>
      <c r="J243" s="188">
        <f>E243+F243+G243+H243+I243</f>
        <v>0</v>
      </c>
      <c r="K243" s="42">
        <f>I243*509.5</f>
        <v>0</v>
      </c>
    </row>
    <row r="244" spans="1:19" ht="17.25" customHeight="1">
      <c r="D244" s="42" t="s">
        <v>354</v>
      </c>
      <c r="E244" s="45">
        <f t="shared" ref="E244:J244" si="3">E241+E242+E243</f>
        <v>0</v>
      </c>
      <c r="F244" s="45">
        <f t="shared" si="3"/>
        <v>0</v>
      </c>
      <c r="G244" s="45">
        <f t="shared" si="3"/>
        <v>0</v>
      </c>
      <c r="H244" s="45">
        <f t="shared" si="3"/>
        <v>0</v>
      </c>
      <c r="I244" s="45">
        <f t="shared" si="3"/>
        <v>0</v>
      </c>
      <c r="J244" s="45">
        <f t="shared" si="3"/>
        <v>0</v>
      </c>
      <c r="K244" s="42">
        <f>SUM(K241:K243)</f>
        <v>0</v>
      </c>
      <c r="N244" s="42"/>
      <c r="O244" s="42"/>
      <c r="P244" s="42"/>
      <c r="Q244" s="42"/>
      <c r="R244" s="42"/>
      <c r="S244" s="42"/>
    </row>
    <row r="245" spans="1:19" ht="17.25" customHeight="1">
      <c r="A245" s="327" t="s">
        <v>348</v>
      </c>
      <c r="B245" s="328"/>
      <c r="C245" s="329"/>
      <c r="D245" s="183" t="s">
        <v>347</v>
      </c>
      <c r="E245" s="321" t="s">
        <v>429</v>
      </c>
      <c r="F245" s="321"/>
      <c r="G245" s="322"/>
      <c r="H245" s="320" t="s">
        <v>533</v>
      </c>
      <c r="I245" s="321"/>
      <c r="J245" s="322"/>
    </row>
    <row r="246" spans="1:19" ht="17.25" customHeight="1">
      <c r="A246" s="323" t="s">
        <v>342</v>
      </c>
      <c r="B246" s="324"/>
      <c r="C246" s="325"/>
      <c r="D246" s="190" t="s">
        <v>649</v>
      </c>
      <c r="E246" s="186" t="s">
        <v>648</v>
      </c>
      <c r="F246" s="183" t="s">
        <v>377</v>
      </c>
      <c r="G246" s="186" t="s">
        <v>379</v>
      </c>
      <c r="H246" s="183" t="s">
        <v>378</v>
      </c>
      <c r="I246" s="190" t="s">
        <v>377</v>
      </c>
      <c r="J246" s="183" t="s">
        <v>376</v>
      </c>
    </row>
    <row r="247" spans="1:19" ht="17.25" customHeight="1">
      <c r="A247" s="106"/>
      <c r="C247" s="191"/>
      <c r="D247" s="190" t="s">
        <v>302</v>
      </c>
      <c r="E247" s="186" t="s">
        <v>375</v>
      </c>
      <c r="F247" s="190" t="s">
        <v>588</v>
      </c>
      <c r="G247" s="186" t="s">
        <v>420</v>
      </c>
      <c r="H247" s="190" t="s">
        <v>645</v>
      </c>
      <c r="I247" s="190" t="s">
        <v>353</v>
      </c>
      <c r="J247" s="190" t="s">
        <v>353</v>
      </c>
    </row>
    <row r="248" spans="1:19" ht="17.25" customHeight="1">
      <c r="A248" s="106"/>
      <c r="C248" s="191"/>
      <c r="D248" s="190"/>
      <c r="E248" s="186" t="s">
        <v>644</v>
      </c>
      <c r="F248" s="190" t="s">
        <v>643</v>
      </c>
      <c r="G248" s="186" t="s">
        <v>250</v>
      </c>
      <c r="H248" s="190" t="s">
        <v>353</v>
      </c>
      <c r="I248" s="186"/>
      <c r="J248" s="190"/>
    </row>
    <row r="249" spans="1:19" ht="17.25" customHeight="1">
      <c r="A249" s="106"/>
      <c r="C249" s="191"/>
      <c r="D249" s="190"/>
      <c r="E249" s="186" t="s">
        <v>360</v>
      </c>
      <c r="F249" s="190" t="s">
        <v>360</v>
      </c>
      <c r="G249" s="186" t="s">
        <v>359</v>
      </c>
      <c r="H249" s="190"/>
      <c r="I249" s="186"/>
      <c r="J249" s="190"/>
    </row>
    <row r="250" spans="1:19" ht="17.25" customHeight="1">
      <c r="A250" s="106"/>
      <c r="C250" s="191"/>
      <c r="D250" s="190"/>
      <c r="E250" s="186" t="s">
        <v>358</v>
      </c>
      <c r="F250" s="190" t="s">
        <v>358</v>
      </c>
      <c r="G250" s="186" t="s">
        <v>357</v>
      </c>
      <c r="H250" s="190"/>
      <c r="I250" s="186"/>
      <c r="J250" s="190"/>
    </row>
    <row r="251" spans="1:19" ht="17.25" customHeight="1">
      <c r="A251" s="13"/>
      <c r="B251" s="26"/>
      <c r="C251" s="14"/>
      <c r="D251" s="43"/>
      <c r="E251" s="192" t="s">
        <v>591</v>
      </c>
      <c r="F251" s="43" t="s">
        <v>591</v>
      </c>
      <c r="G251" s="192"/>
      <c r="H251" s="43"/>
      <c r="I251" s="192"/>
      <c r="J251" s="43"/>
    </row>
    <row r="252" spans="1:19" ht="17.25" customHeight="1">
      <c r="A252" s="326"/>
      <c r="B252" s="326"/>
      <c r="C252" s="326"/>
      <c r="D252" s="41"/>
      <c r="E252" s="41">
        <v>1</v>
      </c>
      <c r="F252" s="41">
        <v>2</v>
      </c>
      <c r="G252" s="41">
        <v>3</v>
      </c>
      <c r="H252" s="41">
        <v>4</v>
      </c>
      <c r="I252" s="41">
        <v>5</v>
      </c>
      <c r="J252" s="41">
        <v>6</v>
      </c>
    </row>
    <row r="253" spans="1:19" ht="17.25" customHeight="1">
      <c r="A253" s="97" t="s">
        <v>651</v>
      </c>
      <c r="B253" s="193"/>
      <c r="C253" s="194"/>
      <c r="D253" s="50"/>
      <c r="E253" s="45"/>
      <c r="F253" s="195"/>
      <c r="G253" s="45"/>
      <c r="H253" s="195"/>
      <c r="I253" s="45"/>
      <c r="J253" s="46"/>
    </row>
    <row r="254" spans="1:19" ht="17.25" customHeight="1">
      <c r="A254" s="196" t="s">
        <v>334</v>
      </c>
      <c r="B254" s="193"/>
      <c r="C254" s="194"/>
      <c r="D254" s="197" t="s">
        <v>229</v>
      </c>
      <c r="E254" s="188"/>
      <c r="F254" s="198">
        <f>ROUND(G254*1.03,0)</f>
        <v>0</v>
      </c>
      <c r="G254" s="188">
        <f>ROUND(K244,0)</f>
        <v>0</v>
      </c>
      <c r="H254" s="198" t="e">
        <f>E254*1000/H237</f>
        <v>#REF!</v>
      </c>
      <c r="I254" s="188" t="e">
        <f>F254*1000/H237</f>
        <v>#REF!</v>
      </c>
      <c r="J254" s="199" t="e">
        <f>G254*1000/H237</f>
        <v>#REF!</v>
      </c>
      <c r="K254" s="42" t="e">
        <f>G254/J244</f>
        <v>#DIV/0!</v>
      </c>
    </row>
    <row r="255" spans="1:19" ht="17.25" customHeight="1">
      <c r="A255" s="196" t="s">
        <v>228</v>
      </c>
      <c r="B255" s="193"/>
      <c r="C255" s="194"/>
      <c r="D255" s="197" t="s">
        <v>211</v>
      </c>
      <c r="E255" s="188"/>
      <c r="F255" s="198" t="e">
        <f>ROUND(G255*1.03,0)</f>
        <v>#REF!</v>
      </c>
      <c r="G255" s="188" t="e">
        <f>Q363</f>
        <v>#REF!</v>
      </c>
      <c r="H255" s="197" t="e">
        <f>E255*1000/H237</f>
        <v>#REF!</v>
      </c>
      <c r="I255" s="188" t="e">
        <f>F255*1000/H237</f>
        <v>#REF!</v>
      </c>
      <c r="J255" s="199" t="e">
        <f>G255*1000/H237</f>
        <v>#REF!</v>
      </c>
    </row>
    <row r="256" spans="1:19" ht="17.25" customHeight="1">
      <c r="A256" s="10" t="s">
        <v>210</v>
      </c>
      <c r="B256" s="25"/>
      <c r="C256" s="11"/>
      <c r="D256" s="50"/>
      <c r="E256" s="45"/>
      <c r="F256" s="195"/>
      <c r="G256" s="50"/>
      <c r="H256" s="50"/>
      <c r="I256" s="45"/>
      <c r="J256" s="46"/>
    </row>
    <row r="257" spans="1:10" ht="17.25" customHeight="1">
      <c r="A257" s="13" t="s">
        <v>558</v>
      </c>
      <c r="B257" s="26"/>
      <c r="C257" s="14"/>
      <c r="D257" s="51" t="s">
        <v>323</v>
      </c>
      <c r="E257" s="44"/>
      <c r="F257" s="198" t="e">
        <f>G257</f>
        <v>#REF!</v>
      </c>
      <c r="G257" s="188" t="e">
        <f>Q365</f>
        <v>#REF!</v>
      </c>
      <c r="H257" s="200" t="e">
        <f>E257*1000/H237</f>
        <v>#REF!</v>
      </c>
      <c r="I257" s="47" t="e">
        <f>F257*1000/H237</f>
        <v>#REF!</v>
      </c>
      <c r="J257" s="201" t="e">
        <f>G257*1000/H237</f>
        <v>#REF!</v>
      </c>
    </row>
    <row r="258" spans="1:10" ht="17.25" customHeight="1">
      <c r="A258" s="10" t="s">
        <v>558</v>
      </c>
      <c r="B258" s="25"/>
      <c r="C258" s="11"/>
      <c r="E258" s="47"/>
      <c r="G258" s="200"/>
      <c r="H258" s="50"/>
      <c r="I258" s="45"/>
      <c r="J258" s="46"/>
    </row>
    <row r="259" spans="1:10" ht="17.25" customHeight="1">
      <c r="A259" s="106" t="s">
        <v>246</v>
      </c>
      <c r="C259" s="191"/>
      <c r="E259" s="47"/>
      <c r="G259" s="200"/>
      <c r="H259" s="200"/>
      <c r="I259" s="47"/>
      <c r="J259" s="201"/>
    </row>
    <row r="260" spans="1:10" ht="17.25" customHeight="1">
      <c r="A260" s="13" t="s">
        <v>245</v>
      </c>
      <c r="B260" s="26"/>
      <c r="C260" s="14"/>
      <c r="D260" s="42" t="s">
        <v>215</v>
      </c>
      <c r="E260" s="47">
        <f>E254+E255-E257</f>
        <v>0</v>
      </c>
      <c r="F260" s="47" t="e">
        <f>F254+F255-F257</f>
        <v>#REF!</v>
      </c>
      <c r="G260" s="200" t="e">
        <f>G254+G255-G257</f>
        <v>#REF!</v>
      </c>
      <c r="H260" s="51" t="e">
        <f>E260*1000/H237</f>
        <v>#REF!</v>
      </c>
      <c r="I260" s="44" t="e">
        <f>F260*1000/H237</f>
        <v>#REF!</v>
      </c>
      <c r="J260" s="48" t="e">
        <f>G260*1000/H237</f>
        <v>#REF!</v>
      </c>
    </row>
    <row r="261" spans="1:10" ht="17.25" customHeight="1">
      <c r="A261" s="98" t="s">
        <v>214</v>
      </c>
      <c r="B261" s="80"/>
      <c r="C261" s="99"/>
      <c r="D261" s="197"/>
      <c r="E261" s="188"/>
      <c r="F261" s="198"/>
      <c r="G261" s="188"/>
      <c r="H261" s="202"/>
      <c r="I261" s="44"/>
      <c r="J261" s="48"/>
    </row>
    <row r="262" spans="1:10" ht="17.25" customHeight="1">
      <c r="A262" s="196" t="s">
        <v>213</v>
      </c>
      <c r="B262" s="193"/>
      <c r="C262" s="194"/>
      <c r="D262" s="197" t="s">
        <v>227</v>
      </c>
      <c r="E262" s="188"/>
      <c r="F262" s="198" t="e">
        <f>ROUND(G262*1.03,0)</f>
        <v>#REF!</v>
      </c>
      <c r="G262" s="188" t="e">
        <f>Q370</f>
        <v>#REF!</v>
      </c>
      <c r="H262" s="195" t="e">
        <f>E262*1000/H237</f>
        <v>#REF!</v>
      </c>
      <c r="I262" s="45" t="e">
        <f>F262*1000/H237</f>
        <v>#REF!</v>
      </c>
      <c r="J262" s="46" t="e">
        <f>G262*1000/H237</f>
        <v>#REF!</v>
      </c>
    </row>
    <row r="263" spans="1:10" ht="17.25" customHeight="1">
      <c r="A263" s="10" t="s">
        <v>585</v>
      </c>
      <c r="B263" s="25"/>
      <c r="C263" s="11"/>
      <c r="E263" s="45"/>
      <c r="G263" s="50"/>
      <c r="H263" s="50"/>
      <c r="I263" s="45"/>
      <c r="J263" s="46"/>
    </row>
    <row r="264" spans="1:10" ht="17.25" customHeight="1">
      <c r="A264" s="106" t="s">
        <v>584</v>
      </c>
      <c r="C264" s="191"/>
      <c r="E264" s="47"/>
      <c r="G264" s="200"/>
      <c r="H264" s="200"/>
      <c r="I264" s="47"/>
      <c r="J264" s="201"/>
    </row>
    <row r="265" spans="1:10" ht="17.25" customHeight="1">
      <c r="A265" s="13" t="s">
        <v>583</v>
      </c>
      <c r="B265" s="26"/>
      <c r="C265" s="14"/>
      <c r="D265" s="42" t="s">
        <v>532</v>
      </c>
      <c r="E265" s="47"/>
      <c r="F265" s="198" t="e">
        <f>ROUND(G265*1.03,0)</f>
        <v>#REF!</v>
      </c>
      <c r="G265" s="188" t="e">
        <f>Q373</f>
        <v>#REF!</v>
      </c>
      <c r="H265" s="200" t="e">
        <f>E265*1000/H237</f>
        <v>#REF!</v>
      </c>
      <c r="I265" s="47" t="e">
        <f>F265*1000/H237</f>
        <v>#REF!</v>
      </c>
      <c r="J265" s="201" t="e">
        <f>G265*1000/H237</f>
        <v>#REF!</v>
      </c>
    </row>
    <row r="266" spans="1:10" ht="17.25" customHeight="1">
      <c r="A266" s="10" t="s">
        <v>529</v>
      </c>
      <c r="B266" s="25"/>
      <c r="C266" s="11"/>
      <c r="D266" s="50"/>
      <c r="E266" s="45"/>
      <c r="F266" s="195"/>
      <c r="G266" s="47"/>
      <c r="H266" s="50"/>
      <c r="I266" s="45"/>
      <c r="J266" s="46"/>
    </row>
    <row r="267" spans="1:10" ht="17.25" customHeight="1">
      <c r="A267" s="13" t="s">
        <v>528</v>
      </c>
      <c r="B267" s="26"/>
      <c r="C267" s="14"/>
      <c r="D267" s="51" t="s">
        <v>527</v>
      </c>
      <c r="E267" s="44"/>
      <c r="F267" s="198" t="e">
        <f>ROUND(G267*1.03,0)</f>
        <v>#REF!</v>
      </c>
      <c r="G267" s="198" t="e">
        <f>ROUND(G265*0.25,0)</f>
        <v>#REF!</v>
      </c>
      <c r="H267" s="51" t="e">
        <f>E267*1000/H237</f>
        <v>#REF!</v>
      </c>
      <c r="I267" s="44" t="e">
        <f>F267*1000/H237</f>
        <v>#REF!</v>
      </c>
      <c r="J267" s="48" t="e">
        <f>G267*1000/H237</f>
        <v>#REF!</v>
      </c>
    </row>
    <row r="268" spans="1:10" ht="19.5" customHeight="1">
      <c r="A268" s="106" t="s">
        <v>526</v>
      </c>
      <c r="C268" s="191"/>
      <c r="E268" s="47"/>
      <c r="G268" s="200"/>
      <c r="H268" s="200"/>
      <c r="I268" s="47"/>
      <c r="J268" s="201"/>
    </row>
    <row r="269" spans="1:10" ht="19.5" customHeight="1">
      <c r="A269" s="13" t="s">
        <v>525</v>
      </c>
      <c r="B269" s="26"/>
      <c r="C269" s="14"/>
      <c r="D269" s="42" t="s">
        <v>369</v>
      </c>
      <c r="E269" s="47"/>
      <c r="F269" s="198" t="e">
        <f>ROUND(G269*1.03,0)</f>
        <v>#REF!</v>
      </c>
      <c r="G269" s="188" t="e">
        <f>Q377</f>
        <v>#REF!</v>
      </c>
      <c r="H269" s="51" t="e">
        <f>E269*1000/H237</f>
        <v>#REF!</v>
      </c>
      <c r="I269" s="44" t="e">
        <f>F269*1000/H237</f>
        <v>#REF!</v>
      </c>
      <c r="J269" s="48" t="e">
        <f>G269*1000/H237</f>
        <v>#REF!</v>
      </c>
    </row>
    <row r="270" spans="1:10" ht="19.5" customHeight="1">
      <c r="A270" s="10" t="s">
        <v>368</v>
      </c>
      <c r="B270" s="25"/>
      <c r="C270" s="11"/>
      <c r="D270" s="50"/>
      <c r="E270" s="45"/>
      <c r="F270" s="195"/>
      <c r="G270" s="45"/>
      <c r="I270" s="47"/>
      <c r="J270" s="47"/>
    </row>
    <row r="271" spans="1:10" ht="19.5" customHeight="1">
      <c r="A271" s="13" t="s">
        <v>418</v>
      </c>
      <c r="B271" s="26"/>
      <c r="C271" s="14"/>
      <c r="D271" s="51" t="s">
        <v>662</v>
      </c>
      <c r="E271" s="44">
        <f>E262+E265+E267+E269</f>
        <v>0</v>
      </c>
      <c r="F271" s="44" t="e">
        <f>F262+F265+F267+F269</f>
        <v>#REF!</v>
      </c>
      <c r="G271" s="44" t="e">
        <f>G262+G265+G267+G269</f>
        <v>#REF!</v>
      </c>
      <c r="H271" s="44" t="e">
        <f>E271*1000/H237</f>
        <v>#REF!</v>
      </c>
      <c r="I271" s="44" t="e">
        <f>F271*1000/H237</f>
        <v>#REF!</v>
      </c>
      <c r="J271" s="44" t="e">
        <f>G271*1000/H237</f>
        <v>#REF!</v>
      </c>
    </row>
    <row r="272" spans="1:10" ht="19.5" customHeight="1">
      <c r="A272" s="106"/>
      <c r="C272" s="191"/>
      <c r="E272" s="47"/>
      <c r="G272" s="45"/>
      <c r="I272" s="47"/>
      <c r="J272" s="47"/>
    </row>
    <row r="273" spans="1:10" ht="19.5" customHeight="1">
      <c r="A273" s="106" t="s">
        <v>262</v>
      </c>
      <c r="C273" s="191"/>
      <c r="E273" s="47"/>
      <c r="G273" s="47"/>
      <c r="I273" s="44" t="e">
        <f>F273*1000/H237</f>
        <v>#REF!</v>
      </c>
      <c r="J273" s="44" t="e">
        <f>G273*1000/I237</f>
        <v>#DIV/0!</v>
      </c>
    </row>
    <row r="274" spans="1:10" ht="19.5" customHeight="1">
      <c r="A274" s="10" t="s">
        <v>661</v>
      </c>
      <c r="B274" s="25"/>
      <c r="C274" s="11"/>
      <c r="E274" s="47"/>
      <c r="G274" s="47"/>
      <c r="I274" s="47"/>
      <c r="J274" s="47"/>
    </row>
    <row r="275" spans="1:10" ht="19.5" customHeight="1">
      <c r="A275" s="106" t="s">
        <v>516</v>
      </c>
      <c r="C275" s="191"/>
      <c r="D275" s="42" t="s">
        <v>515</v>
      </c>
      <c r="E275" s="47">
        <f>E260+E271</f>
        <v>0</v>
      </c>
      <c r="F275" s="200" t="e">
        <f>F260+F271+F273</f>
        <v>#REF!</v>
      </c>
      <c r="G275" s="44" t="e">
        <f>G260+G271+G273</f>
        <v>#REF!</v>
      </c>
      <c r="H275" s="201" t="e">
        <f>E275*1000/H237</f>
        <v>#REF!</v>
      </c>
      <c r="I275" s="47" t="e">
        <f>F275*1000/H237</f>
        <v>#REF!</v>
      </c>
      <c r="J275" s="47" t="e">
        <f>G275*1000/H237</f>
        <v>#REF!</v>
      </c>
    </row>
    <row r="276" spans="1:10" ht="19.5" customHeight="1">
      <c r="A276" s="10" t="s">
        <v>514</v>
      </c>
      <c r="B276" s="25"/>
      <c r="C276" s="11"/>
      <c r="D276" s="50"/>
      <c r="E276" s="45"/>
      <c r="F276" s="195"/>
      <c r="G276" s="45"/>
      <c r="H276" s="50"/>
      <c r="I276" s="45"/>
      <c r="J276" s="46"/>
    </row>
    <row r="277" spans="1:10" ht="19.5" customHeight="1">
      <c r="A277" s="13" t="s">
        <v>393</v>
      </c>
      <c r="B277" s="26"/>
      <c r="C277" s="14"/>
      <c r="D277" s="51" t="s">
        <v>540</v>
      </c>
      <c r="E277" s="44"/>
      <c r="F277" s="202" t="e">
        <f>'Вспом-1'!D13</f>
        <v>#REF!</v>
      </c>
      <c r="G277" s="44" t="e">
        <f>'Вспом-1'!E13</f>
        <v>#REF!</v>
      </c>
      <c r="H277" s="51" t="e">
        <f>E277*1000/H237</f>
        <v>#REF!</v>
      </c>
      <c r="I277" s="44" t="e">
        <f>F277*1000/H237</f>
        <v>#REF!</v>
      </c>
      <c r="J277" s="48" t="e">
        <f>G277*1000/H237</f>
        <v>#REF!</v>
      </c>
    </row>
    <row r="278" spans="1:10" ht="19.5" customHeight="1">
      <c r="F278" s="203" t="e">
        <f>'Вспом-1'!G13-'73-ХЛ'!F275</f>
        <v>#REF!</v>
      </c>
      <c r="G278" s="203" t="e">
        <f>#REF!-'73-ХЛ'!G275</f>
        <v>#REF!</v>
      </c>
      <c r="J278" s="42"/>
    </row>
    <row r="279" spans="1:10">
      <c r="J279" s="42"/>
    </row>
    <row r="280" spans="1:10">
      <c r="J280" s="42"/>
    </row>
    <row r="281" spans="1:10">
      <c r="J281" s="42"/>
    </row>
    <row r="282" spans="1:10">
      <c r="J282" s="42"/>
    </row>
    <row r="283" spans="1:10">
      <c r="J283" s="42"/>
    </row>
    <row r="284" spans="1:10">
      <c r="J284" s="42"/>
    </row>
    <row r="285" spans="1:10">
      <c r="J285" s="42"/>
    </row>
    <row r="286" spans="1:10">
      <c r="J286" s="42"/>
    </row>
    <row r="287" spans="1:10">
      <c r="J287" s="42"/>
    </row>
    <row r="288" spans="1:10">
      <c r="J288" s="42"/>
    </row>
    <row r="289" spans="1:19">
      <c r="J289" s="42"/>
    </row>
    <row r="290" spans="1:19">
      <c r="J290" s="42"/>
    </row>
    <row r="291" spans="1:19" ht="18" customHeight="1">
      <c r="A291" t="s">
        <v>503</v>
      </c>
      <c r="E291" s="42" t="s">
        <v>509</v>
      </c>
      <c r="H291" s="42" t="e">
        <f>#REF!</f>
        <v>#REF!</v>
      </c>
      <c r="J291" s="42"/>
    </row>
    <row r="292" spans="1:19" ht="18" customHeight="1">
      <c r="E292" s="42" t="s">
        <v>413</v>
      </c>
      <c r="H292" s="42">
        <f>J298</f>
        <v>5</v>
      </c>
      <c r="J292" s="42"/>
    </row>
    <row r="293" spans="1:19" ht="18" customHeight="1">
      <c r="E293" s="42" t="s">
        <v>412</v>
      </c>
      <c r="J293" s="42"/>
    </row>
    <row r="294" spans="1:19" ht="18" customHeight="1">
      <c r="E294" s="188" t="s">
        <v>684</v>
      </c>
      <c r="F294" s="188" t="s">
        <v>683</v>
      </c>
      <c r="G294" s="188" t="s">
        <v>682</v>
      </c>
      <c r="H294" s="188" t="s">
        <v>681</v>
      </c>
      <c r="I294" s="188" t="s">
        <v>680</v>
      </c>
      <c r="J294" s="188" t="s">
        <v>354</v>
      </c>
    </row>
    <row r="295" spans="1:19" ht="18" customHeight="1">
      <c r="D295" s="42" t="s">
        <v>679</v>
      </c>
      <c r="E295" s="188"/>
      <c r="F295" s="188">
        <v>5</v>
      </c>
      <c r="G295" s="188"/>
      <c r="H295" s="188"/>
      <c r="I295" s="188"/>
      <c r="J295" s="188">
        <f>E295+F295+G295+H295+I295</f>
        <v>5</v>
      </c>
      <c r="K295" s="42">
        <f>E295*2056.79+F295*1880.06</f>
        <v>9400.2999999999993</v>
      </c>
    </row>
    <row r="296" spans="1:19" ht="18" customHeight="1">
      <c r="D296" s="42" t="s">
        <v>242</v>
      </c>
      <c r="E296" s="188"/>
      <c r="F296" s="188"/>
      <c r="G296" s="188"/>
      <c r="H296" s="188"/>
      <c r="I296" s="188"/>
      <c r="J296" s="188">
        <f>E296+F296+G296+H296+I296</f>
        <v>0</v>
      </c>
      <c r="K296" s="42">
        <v>0</v>
      </c>
    </row>
    <row r="297" spans="1:19" ht="18" customHeight="1">
      <c r="D297" s="42" t="s">
        <v>387</v>
      </c>
      <c r="E297" s="188"/>
      <c r="F297" s="188"/>
      <c r="G297" s="188"/>
      <c r="H297" s="188"/>
      <c r="I297" s="188"/>
      <c r="J297" s="188">
        <f>E297+F297+G297+H297+I297</f>
        <v>0</v>
      </c>
      <c r="K297" s="42">
        <v>0</v>
      </c>
    </row>
    <row r="298" spans="1:19" ht="18" customHeight="1">
      <c r="D298" s="42" t="s">
        <v>354</v>
      </c>
      <c r="E298" s="45">
        <f t="shared" ref="E298:J298" si="4">E295+E296+E297</f>
        <v>0</v>
      </c>
      <c r="F298" s="45">
        <f t="shared" si="4"/>
        <v>5</v>
      </c>
      <c r="G298" s="45">
        <f t="shared" si="4"/>
        <v>0</v>
      </c>
      <c r="H298" s="45">
        <f t="shared" si="4"/>
        <v>0</v>
      </c>
      <c r="I298" s="45">
        <f t="shared" si="4"/>
        <v>0</v>
      </c>
      <c r="J298" s="45">
        <f t="shared" si="4"/>
        <v>5</v>
      </c>
      <c r="K298" s="42">
        <f>SUM(K295:K297)</f>
        <v>9400.2999999999993</v>
      </c>
      <c r="N298" s="42"/>
      <c r="O298" s="42"/>
      <c r="P298" s="42"/>
      <c r="Q298" s="42"/>
      <c r="R298" s="42"/>
      <c r="S298" s="42"/>
    </row>
    <row r="299" spans="1:19" ht="18" customHeight="1">
      <c r="A299" s="327" t="s">
        <v>348</v>
      </c>
      <c r="B299" s="328"/>
      <c r="C299" s="329"/>
      <c r="D299" s="183" t="s">
        <v>347</v>
      </c>
      <c r="E299" s="321" t="s">
        <v>429</v>
      </c>
      <c r="F299" s="321"/>
      <c r="G299" s="322"/>
      <c r="H299" s="320" t="s">
        <v>533</v>
      </c>
      <c r="I299" s="321"/>
      <c r="J299" s="322"/>
    </row>
    <row r="300" spans="1:19" ht="18" customHeight="1">
      <c r="A300" s="323" t="s">
        <v>342</v>
      </c>
      <c r="B300" s="324"/>
      <c r="C300" s="325"/>
      <c r="D300" s="190" t="s">
        <v>649</v>
      </c>
      <c r="E300" s="186" t="s">
        <v>648</v>
      </c>
      <c r="F300" s="183" t="s">
        <v>377</v>
      </c>
      <c r="G300" s="186" t="s">
        <v>379</v>
      </c>
      <c r="H300" s="183" t="s">
        <v>378</v>
      </c>
      <c r="I300" s="190" t="s">
        <v>377</v>
      </c>
      <c r="J300" s="183" t="s">
        <v>376</v>
      </c>
    </row>
    <row r="301" spans="1:19" ht="18" customHeight="1">
      <c r="A301" s="106"/>
      <c r="C301" s="191"/>
      <c r="D301" s="190" t="s">
        <v>302</v>
      </c>
      <c r="E301" s="186" t="s">
        <v>375</v>
      </c>
      <c r="F301" s="190" t="s">
        <v>588</v>
      </c>
      <c r="G301" s="186" t="s">
        <v>420</v>
      </c>
      <c r="H301" s="190" t="s">
        <v>645</v>
      </c>
      <c r="I301" s="190" t="s">
        <v>353</v>
      </c>
      <c r="J301" s="190" t="s">
        <v>353</v>
      </c>
    </row>
    <row r="302" spans="1:19" ht="18" customHeight="1">
      <c r="A302" s="106"/>
      <c r="C302" s="191"/>
      <c r="D302" s="190"/>
      <c r="E302" s="186" t="s">
        <v>644</v>
      </c>
      <c r="F302" s="190" t="s">
        <v>643</v>
      </c>
      <c r="G302" s="186" t="s">
        <v>250</v>
      </c>
      <c r="H302" s="190" t="s">
        <v>353</v>
      </c>
      <c r="I302" s="186"/>
      <c r="J302" s="190"/>
    </row>
    <row r="303" spans="1:19" ht="18" customHeight="1">
      <c r="A303" s="106"/>
      <c r="C303" s="191"/>
      <c r="D303" s="190"/>
      <c r="E303" s="186" t="s">
        <v>360</v>
      </c>
      <c r="F303" s="190" t="s">
        <v>360</v>
      </c>
      <c r="G303" s="186" t="s">
        <v>359</v>
      </c>
      <c r="H303" s="190"/>
      <c r="I303" s="186"/>
      <c r="J303" s="190"/>
    </row>
    <row r="304" spans="1:19" ht="18" customHeight="1">
      <c r="A304" s="106"/>
      <c r="C304" s="191"/>
      <c r="D304" s="190"/>
      <c r="E304" s="186" t="s">
        <v>358</v>
      </c>
      <c r="F304" s="190" t="s">
        <v>358</v>
      </c>
      <c r="G304" s="186" t="s">
        <v>357</v>
      </c>
      <c r="H304" s="190"/>
      <c r="I304" s="186"/>
      <c r="J304" s="190"/>
    </row>
    <row r="305" spans="1:11" ht="18" customHeight="1">
      <c r="A305" s="13"/>
      <c r="B305" s="26"/>
      <c r="C305" s="14"/>
      <c r="D305" s="43"/>
      <c r="E305" s="192" t="s">
        <v>591</v>
      </c>
      <c r="F305" s="43" t="s">
        <v>591</v>
      </c>
      <c r="G305" s="192"/>
      <c r="H305" s="43"/>
      <c r="I305" s="192"/>
      <c r="J305" s="43"/>
    </row>
    <row r="306" spans="1:11" ht="18" customHeight="1">
      <c r="A306" s="326"/>
      <c r="B306" s="326"/>
      <c r="C306" s="326"/>
      <c r="D306" s="41"/>
      <c r="E306" s="41">
        <v>1</v>
      </c>
      <c r="F306" s="41">
        <v>2</v>
      </c>
      <c r="G306" s="41">
        <v>3</v>
      </c>
      <c r="H306" s="41">
        <v>4</v>
      </c>
      <c r="I306" s="41">
        <v>5</v>
      </c>
      <c r="J306" s="41">
        <v>6</v>
      </c>
    </row>
    <row r="307" spans="1:11" ht="18" customHeight="1">
      <c r="A307" s="97" t="s">
        <v>651</v>
      </c>
      <c r="B307" s="193"/>
      <c r="C307" s="194"/>
      <c r="D307" s="50"/>
      <c r="E307" s="45"/>
      <c r="F307" s="195"/>
      <c r="G307" s="45"/>
      <c r="H307" s="195"/>
      <c r="I307" s="45"/>
      <c r="J307" s="46"/>
    </row>
    <row r="308" spans="1:11" ht="18" customHeight="1">
      <c r="A308" s="196" t="s">
        <v>334</v>
      </c>
      <c r="B308" s="193"/>
      <c r="C308" s="194"/>
      <c r="D308" s="197" t="s">
        <v>229</v>
      </c>
      <c r="E308" s="188"/>
      <c r="F308" s="198">
        <f>ROUND(G308*1.01,0)-60.4</f>
        <v>9433.6</v>
      </c>
      <c r="G308" s="188">
        <f>ROUND(K298,0)</f>
        <v>9400</v>
      </c>
      <c r="H308" s="198" t="e">
        <f>E308*1000/H291</f>
        <v>#REF!</v>
      </c>
      <c r="I308" s="188" t="e">
        <f>F308*1000/H291</f>
        <v>#REF!</v>
      </c>
      <c r="J308" s="199" t="e">
        <f>G308*1000/H291</f>
        <v>#REF!</v>
      </c>
      <c r="K308" s="42">
        <f>G308/J298</f>
        <v>1880</v>
      </c>
    </row>
    <row r="309" spans="1:11" ht="18" customHeight="1">
      <c r="A309" s="196" t="s">
        <v>228</v>
      </c>
      <c r="B309" s="193"/>
      <c r="C309" s="194"/>
      <c r="D309" s="197" t="s">
        <v>211</v>
      </c>
      <c r="E309" s="188"/>
      <c r="F309" s="198" t="e">
        <f>ROUND(G309*1.03,0)</f>
        <v>#REF!</v>
      </c>
      <c r="G309" s="188" t="e">
        <f>R363</f>
        <v>#REF!</v>
      </c>
      <c r="H309" s="197" t="e">
        <f>E309*1000/H291</f>
        <v>#REF!</v>
      </c>
      <c r="I309" s="188" t="e">
        <f>F309*1000/H291</f>
        <v>#REF!</v>
      </c>
      <c r="J309" s="199" t="e">
        <f>G309*1000/H291</f>
        <v>#REF!</v>
      </c>
    </row>
    <row r="310" spans="1:11" ht="18" customHeight="1">
      <c r="A310" s="10" t="s">
        <v>210</v>
      </c>
      <c r="B310" s="25"/>
      <c r="C310" s="11"/>
      <c r="D310" s="50"/>
      <c r="E310" s="45"/>
      <c r="F310" s="195"/>
      <c r="G310" s="50"/>
      <c r="H310" s="50"/>
      <c r="I310" s="45"/>
      <c r="J310" s="46"/>
    </row>
    <row r="311" spans="1:11" ht="18" customHeight="1">
      <c r="A311" s="13" t="s">
        <v>558</v>
      </c>
      <c r="B311" s="26"/>
      <c r="C311" s="14"/>
      <c r="D311" s="51" t="s">
        <v>323</v>
      </c>
      <c r="E311" s="44"/>
      <c r="F311" s="198">
        <f>G311</f>
        <v>1938.6</v>
      </c>
      <c r="G311" s="188">
        <v>1938.6</v>
      </c>
      <c r="H311" s="200" t="e">
        <f>E311*1000/H291</f>
        <v>#REF!</v>
      </c>
      <c r="I311" s="47" t="e">
        <f>F311*1000/H291</f>
        <v>#REF!</v>
      </c>
      <c r="J311" s="201" t="e">
        <f>G311*1000/H291</f>
        <v>#REF!</v>
      </c>
    </row>
    <row r="312" spans="1:11" ht="18" customHeight="1">
      <c r="A312" s="10" t="s">
        <v>558</v>
      </c>
      <c r="B312" s="25"/>
      <c r="C312" s="11"/>
      <c r="E312" s="47"/>
      <c r="G312" s="200"/>
      <c r="H312" s="50"/>
      <c r="I312" s="45"/>
      <c r="J312" s="46"/>
    </row>
    <row r="313" spans="1:11" ht="18" customHeight="1">
      <c r="A313" s="106" t="s">
        <v>246</v>
      </c>
      <c r="C313" s="191"/>
      <c r="E313" s="47"/>
      <c r="G313" s="200"/>
      <c r="H313" s="200"/>
      <c r="I313" s="47"/>
      <c r="J313" s="201"/>
    </row>
    <row r="314" spans="1:11" ht="18" customHeight="1">
      <c r="A314" s="13" t="s">
        <v>245</v>
      </c>
      <c r="B314" s="26"/>
      <c r="C314" s="14"/>
      <c r="D314" s="42" t="s">
        <v>215</v>
      </c>
      <c r="E314" s="47">
        <f>E308+E309-E311</f>
        <v>0</v>
      </c>
      <c r="F314" s="47" t="e">
        <f>F308+F309-F311</f>
        <v>#REF!</v>
      </c>
      <c r="G314" s="200" t="e">
        <f>G308+G309-G311</f>
        <v>#REF!</v>
      </c>
      <c r="H314" s="51" t="e">
        <f>E314*1000/H291</f>
        <v>#REF!</v>
      </c>
      <c r="I314" s="44" t="e">
        <f>F314*1000/H291</f>
        <v>#REF!</v>
      </c>
      <c r="J314" s="48" t="e">
        <f>G314*1000/H291</f>
        <v>#REF!</v>
      </c>
    </row>
    <row r="315" spans="1:11" ht="18" customHeight="1">
      <c r="A315" s="98" t="s">
        <v>214</v>
      </c>
      <c r="B315" s="80"/>
      <c r="C315" s="99"/>
      <c r="D315" s="197"/>
      <c r="E315" s="188"/>
      <c r="F315" s="198"/>
      <c r="G315" s="188"/>
      <c r="H315" s="202"/>
      <c r="I315" s="44"/>
      <c r="J315" s="48"/>
    </row>
    <row r="316" spans="1:11" ht="18" customHeight="1">
      <c r="A316" s="196" t="s">
        <v>213</v>
      </c>
      <c r="B316" s="193"/>
      <c r="C316" s="194"/>
      <c r="D316" s="197" t="s">
        <v>227</v>
      </c>
      <c r="E316" s="188"/>
      <c r="F316" s="198">
        <f>ROUND(G316*1.03,0)</f>
        <v>84</v>
      </c>
      <c r="G316" s="188">
        <v>82</v>
      </c>
      <c r="H316" s="195" t="e">
        <f>E316*1000/H291</f>
        <v>#REF!</v>
      </c>
      <c r="I316" s="45" t="e">
        <f>F316*1000/H291</f>
        <v>#REF!</v>
      </c>
      <c r="J316" s="46" t="e">
        <f>G316*1000/H291</f>
        <v>#REF!</v>
      </c>
    </row>
    <row r="317" spans="1:11" ht="18" customHeight="1">
      <c r="A317" s="10" t="s">
        <v>585</v>
      </c>
      <c r="B317" s="25"/>
      <c r="C317" s="11"/>
      <c r="E317" s="45"/>
      <c r="G317" s="50"/>
      <c r="H317" s="50"/>
      <c r="I317" s="45"/>
      <c r="J317" s="46"/>
    </row>
    <row r="318" spans="1:11" ht="18" customHeight="1">
      <c r="A318" s="106" t="s">
        <v>584</v>
      </c>
      <c r="C318" s="191"/>
      <c r="E318" s="47"/>
      <c r="G318" s="200"/>
      <c r="H318" s="200"/>
      <c r="I318" s="47"/>
      <c r="J318" s="201"/>
    </row>
    <row r="319" spans="1:11" ht="18" customHeight="1">
      <c r="A319" s="13" t="s">
        <v>583</v>
      </c>
      <c r="B319" s="26"/>
      <c r="C319" s="14"/>
      <c r="D319" s="42" t="s">
        <v>532</v>
      </c>
      <c r="E319" s="47"/>
      <c r="F319" s="198">
        <f>ROUND(G319*1.03,0)</f>
        <v>21</v>
      </c>
      <c r="G319" s="188">
        <v>20</v>
      </c>
      <c r="H319" s="200" t="e">
        <f>E319*1000/H291</f>
        <v>#REF!</v>
      </c>
      <c r="I319" s="47" t="e">
        <f>F319*1000/H291</f>
        <v>#REF!</v>
      </c>
      <c r="J319" s="201" t="e">
        <f>G319*1000/H291</f>
        <v>#REF!</v>
      </c>
    </row>
    <row r="320" spans="1:11" ht="17.25" customHeight="1">
      <c r="A320" s="10" t="s">
        <v>529</v>
      </c>
      <c r="B320" s="25"/>
      <c r="C320" s="11"/>
      <c r="D320" s="50"/>
      <c r="E320" s="45"/>
      <c r="F320" s="195"/>
      <c r="G320" s="47"/>
      <c r="H320" s="50"/>
      <c r="I320" s="45"/>
      <c r="J320" s="46"/>
    </row>
    <row r="321" spans="1:10" ht="17.25" customHeight="1">
      <c r="A321" s="13" t="s">
        <v>528</v>
      </c>
      <c r="B321" s="26"/>
      <c r="C321" s="14"/>
      <c r="D321" s="51" t="s">
        <v>527</v>
      </c>
      <c r="E321" s="44"/>
      <c r="F321" s="198">
        <f>ROUND(G321*1.03,0)</f>
        <v>5</v>
      </c>
      <c r="G321" s="198">
        <f>ROUND(G319*0.25,0)</f>
        <v>5</v>
      </c>
      <c r="H321" s="51" t="e">
        <f>E321*1000/H291</f>
        <v>#REF!</v>
      </c>
      <c r="I321" s="44" t="e">
        <f>F321*1000/H291</f>
        <v>#REF!</v>
      </c>
      <c r="J321" s="48" t="e">
        <f>G321*1000/H291</f>
        <v>#REF!</v>
      </c>
    </row>
    <row r="322" spans="1:10" ht="17.25" customHeight="1">
      <c r="A322" s="106" t="s">
        <v>526</v>
      </c>
      <c r="C322" s="191"/>
      <c r="E322" s="47"/>
      <c r="G322" s="200"/>
      <c r="H322" s="200"/>
      <c r="I322" s="47"/>
      <c r="J322" s="201"/>
    </row>
    <row r="323" spans="1:10" ht="17.25" customHeight="1">
      <c r="A323" s="13" t="s">
        <v>525</v>
      </c>
      <c r="B323" s="26"/>
      <c r="C323" s="14"/>
      <c r="D323" s="42" t="s">
        <v>369</v>
      </c>
      <c r="E323" s="47"/>
      <c r="F323" s="198">
        <f>ROUND(G323*1.03,0)</f>
        <v>62</v>
      </c>
      <c r="G323" s="188">
        <v>60</v>
      </c>
      <c r="H323" s="51" t="e">
        <f>E323*1000/H291</f>
        <v>#REF!</v>
      </c>
      <c r="I323" s="44" t="e">
        <f>F323*1000/H291</f>
        <v>#REF!</v>
      </c>
      <c r="J323" s="48" t="e">
        <f>G323*1000/H291</f>
        <v>#REF!</v>
      </c>
    </row>
    <row r="324" spans="1:10" ht="17.25" customHeight="1">
      <c r="A324" s="10" t="s">
        <v>368</v>
      </c>
      <c r="B324" s="25"/>
      <c r="C324" s="11"/>
      <c r="D324" s="50"/>
      <c r="E324" s="45"/>
      <c r="F324" s="195"/>
      <c r="G324" s="45"/>
      <c r="I324" s="47"/>
      <c r="J324" s="47"/>
    </row>
    <row r="325" spans="1:10" ht="17.25" customHeight="1">
      <c r="A325" s="13" t="s">
        <v>418</v>
      </c>
      <c r="B325" s="26"/>
      <c r="C325" s="14"/>
      <c r="D325" s="51" t="s">
        <v>662</v>
      </c>
      <c r="E325" s="44">
        <f>E316+E319+E321+E323</f>
        <v>0</v>
      </c>
      <c r="F325" s="44">
        <f>F316+F319+F321+F323</f>
        <v>172</v>
      </c>
      <c r="G325" s="44">
        <f>G316+G319+G321+G323</f>
        <v>167</v>
      </c>
      <c r="H325" s="44" t="e">
        <f>E325*1000/H291</f>
        <v>#REF!</v>
      </c>
      <c r="I325" s="44" t="e">
        <f>F325*1000/H291</f>
        <v>#REF!</v>
      </c>
      <c r="J325" s="44" t="e">
        <f>G325*1000/H291</f>
        <v>#REF!</v>
      </c>
    </row>
    <row r="326" spans="1:10" ht="17.25" customHeight="1">
      <c r="A326" s="106"/>
      <c r="C326" s="191"/>
      <c r="E326" s="47"/>
      <c r="G326" s="45"/>
      <c r="I326" s="47"/>
      <c r="J326" s="47"/>
    </row>
    <row r="327" spans="1:10" ht="17.25" customHeight="1">
      <c r="A327" s="106" t="s">
        <v>262</v>
      </c>
      <c r="C327" s="191"/>
      <c r="E327" s="47"/>
      <c r="G327" s="47"/>
      <c r="I327" s="44" t="e">
        <f>F327*1000/H291</f>
        <v>#REF!</v>
      </c>
      <c r="J327" s="44" t="e">
        <f>G327*1000/I291</f>
        <v>#DIV/0!</v>
      </c>
    </row>
    <row r="328" spans="1:10" ht="17.25" customHeight="1">
      <c r="A328" s="10" t="s">
        <v>661</v>
      </c>
      <c r="B328" s="25"/>
      <c r="C328" s="11"/>
      <c r="E328" s="47"/>
      <c r="G328" s="47"/>
      <c r="I328" s="47"/>
      <c r="J328" s="47"/>
    </row>
    <row r="329" spans="1:10" ht="17.25" customHeight="1">
      <c r="A329" s="106" t="s">
        <v>516</v>
      </c>
      <c r="C329" s="191"/>
      <c r="D329" s="42" t="s">
        <v>515</v>
      </c>
      <c r="E329" s="47">
        <f>E314+E325</f>
        <v>0</v>
      </c>
      <c r="F329" s="200" t="e">
        <f>F314+F325+F327</f>
        <v>#REF!</v>
      </c>
      <c r="G329" s="44" t="e">
        <f>G314+G325+G327</f>
        <v>#REF!</v>
      </c>
      <c r="H329" s="201" t="e">
        <f>E329*1000/H291</f>
        <v>#REF!</v>
      </c>
      <c r="I329" s="47" t="e">
        <f>F329*1000/H291</f>
        <v>#REF!</v>
      </c>
      <c r="J329" s="47" t="e">
        <f>G329*1000/H291</f>
        <v>#REF!</v>
      </c>
    </row>
    <row r="330" spans="1:10" ht="17.25" customHeight="1">
      <c r="A330" s="10" t="s">
        <v>514</v>
      </c>
      <c r="B330" s="25"/>
      <c r="C330" s="11"/>
      <c r="D330" s="50"/>
      <c r="E330" s="45"/>
      <c r="F330" s="195"/>
      <c r="G330" s="45"/>
      <c r="H330" s="50"/>
      <c r="I330" s="45"/>
      <c r="J330" s="46"/>
    </row>
    <row r="331" spans="1:10" ht="17.25" customHeight="1">
      <c r="A331" s="13" t="s">
        <v>393</v>
      </c>
      <c r="B331" s="26"/>
      <c r="C331" s="14"/>
      <c r="D331" s="51" t="s">
        <v>540</v>
      </c>
      <c r="E331" s="44"/>
      <c r="F331" s="202" t="e">
        <f>'Вспом-1'!D14</f>
        <v>#REF!</v>
      </c>
      <c r="G331" s="44" t="e">
        <f>'Вспом-1'!E14</f>
        <v>#REF!</v>
      </c>
      <c r="H331" s="51" t="e">
        <f>E331*1000/H291</f>
        <v>#REF!</v>
      </c>
      <c r="I331" s="44" t="e">
        <f>F331*1000/H291</f>
        <v>#REF!</v>
      </c>
      <c r="J331" s="48" t="e">
        <f>G331*1000/H291</f>
        <v>#REF!</v>
      </c>
    </row>
    <row r="332" spans="1:10" ht="17.25" customHeight="1">
      <c r="F332" s="203" t="e">
        <f>'Вспом-1'!G14-F329</f>
        <v>#REF!</v>
      </c>
      <c r="G332" s="203" t="e">
        <f>#REF!-'73-ХЛ'!G329</f>
        <v>#REF!</v>
      </c>
      <c r="J332" s="42"/>
    </row>
    <row r="333" spans="1:10">
      <c r="J333" s="42"/>
    </row>
    <row r="334" spans="1:10">
      <c r="J334" s="42"/>
    </row>
    <row r="335" spans="1:10">
      <c r="J335" s="42"/>
    </row>
    <row r="336" spans="1:10">
      <c r="J336" s="42"/>
    </row>
    <row r="337" spans="1:14">
      <c r="J337" s="42"/>
    </row>
    <row r="338" spans="1:14">
      <c r="J338" s="42"/>
    </row>
    <row r="339" spans="1:14">
      <c r="J339" s="42"/>
    </row>
    <row r="340" spans="1:14">
      <c r="J340" s="42"/>
    </row>
    <row r="341" spans="1:14">
      <c r="J341" s="42"/>
    </row>
    <row r="342" spans="1:14">
      <c r="J342" s="42"/>
    </row>
    <row r="343" spans="1:14">
      <c r="J343" s="42"/>
    </row>
    <row r="344" spans="1:14">
      <c r="J344" s="42"/>
    </row>
    <row r="345" spans="1:14" ht="17.25" customHeight="1">
      <c r="A345" t="s">
        <v>503</v>
      </c>
      <c r="E345" s="42" t="s">
        <v>419</v>
      </c>
      <c r="I345" s="42" t="e">
        <f>H72+H129+H182+H237+H291</f>
        <v>#REF!</v>
      </c>
      <c r="J345" s="42"/>
    </row>
    <row r="346" spans="1:14" ht="17.25" customHeight="1">
      <c r="E346" s="42" t="s">
        <v>413</v>
      </c>
      <c r="H346" s="42">
        <f>H73+H130+H183+H238+H292</f>
        <v>13564</v>
      </c>
      <c r="J346" s="42"/>
    </row>
    <row r="347" spans="1:14" ht="17.25" customHeight="1">
      <c r="E347" s="42" t="s">
        <v>412</v>
      </c>
      <c r="J347" s="42"/>
    </row>
    <row r="348" spans="1:14" ht="17.25" customHeight="1">
      <c r="E348" s="188" t="s">
        <v>684</v>
      </c>
      <c r="F348" s="188" t="s">
        <v>683</v>
      </c>
      <c r="G348" s="188" t="s">
        <v>682</v>
      </c>
      <c r="H348" s="188" t="s">
        <v>681</v>
      </c>
      <c r="I348" s="188" t="s">
        <v>680</v>
      </c>
      <c r="J348" s="188" t="s">
        <v>354</v>
      </c>
    </row>
    <row r="349" spans="1:14" ht="17.25" customHeight="1">
      <c r="D349" s="42" t="s">
        <v>679</v>
      </c>
      <c r="E349" s="188">
        <f t="shared" ref="E349:I351" si="5">E76+E133+E186+E241+E295</f>
        <v>11302</v>
      </c>
      <c r="F349" s="188">
        <f t="shared" si="5"/>
        <v>429</v>
      </c>
      <c r="G349" s="188">
        <f t="shared" si="5"/>
        <v>0</v>
      </c>
      <c r="H349" s="188">
        <f t="shared" si="5"/>
        <v>0</v>
      </c>
      <c r="I349" s="188">
        <f t="shared" si="5"/>
        <v>0</v>
      </c>
      <c r="J349" s="188">
        <f>E349+F349+G349+H349+I349</f>
        <v>11731</v>
      </c>
    </row>
    <row r="350" spans="1:14" ht="17.25" customHeight="1">
      <c r="D350" s="42" t="s">
        <v>242</v>
      </c>
      <c r="E350" s="188">
        <f t="shared" si="5"/>
        <v>1833</v>
      </c>
      <c r="F350" s="188">
        <f t="shared" si="5"/>
        <v>0</v>
      </c>
      <c r="G350" s="188">
        <f t="shared" si="5"/>
        <v>0</v>
      </c>
      <c r="H350" s="188">
        <f t="shared" si="5"/>
        <v>0</v>
      </c>
      <c r="I350" s="188">
        <f t="shared" si="5"/>
        <v>0</v>
      </c>
      <c r="J350" s="188">
        <f>E350+F350+G350+H350+I350</f>
        <v>1833</v>
      </c>
    </row>
    <row r="351" spans="1:14" ht="17.25" customHeight="1">
      <c r="D351" s="42" t="s">
        <v>387</v>
      </c>
      <c r="E351" s="188">
        <f t="shared" si="5"/>
        <v>0</v>
      </c>
      <c r="F351" s="188">
        <f t="shared" si="5"/>
        <v>0</v>
      </c>
      <c r="G351" s="188">
        <f t="shared" si="5"/>
        <v>0</v>
      </c>
      <c r="H351" s="188">
        <f t="shared" si="5"/>
        <v>0</v>
      </c>
      <c r="I351" s="188">
        <f t="shared" si="5"/>
        <v>0</v>
      </c>
      <c r="J351" s="188">
        <f>E351+F351+G351+H351+I351</f>
        <v>0</v>
      </c>
    </row>
    <row r="352" spans="1:14" ht="17.25" customHeight="1">
      <c r="D352" s="42" t="s">
        <v>354</v>
      </c>
      <c r="E352" s="45">
        <f t="shared" ref="E352:J352" si="6">E349+E350+E351</f>
        <v>13135</v>
      </c>
      <c r="F352" s="45">
        <f t="shared" si="6"/>
        <v>429</v>
      </c>
      <c r="G352" s="45">
        <f t="shared" si="6"/>
        <v>0</v>
      </c>
      <c r="H352" s="45">
        <f t="shared" si="6"/>
        <v>0</v>
      </c>
      <c r="I352" s="45">
        <f t="shared" si="6"/>
        <v>0</v>
      </c>
      <c r="J352" s="45">
        <f t="shared" si="6"/>
        <v>13564</v>
      </c>
      <c r="N352" s="42"/>
    </row>
    <row r="353" spans="1:30" ht="17.25" customHeight="1">
      <c r="A353" s="327" t="s">
        <v>348</v>
      </c>
      <c r="B353" s="328"/>
      <c r="C353" s="329"/>
      <c r="D353" s="183" t="s">
        <v>347</v>
      </c>
      <c r="E353" s="321" t="s">
        <v>414</v>
      </c>
      <c r="F353" s="321"/>
      <c r="G353" s="322"/>
      <c r="H353" s="320" t="s">
        <v>533</v>
      </c>
      <c r="I353" s="321"/>
      <c r="J353" s="322"/>
    </row>
    <row r="354" spans="1:30" ht="17.25" customHeight="1">
      <c r="A354" s="323" t="s">
        <v>342</v>
      </c>
      <c r="B354" s="324"/>
      <c r="C354" s="325"/>
      <c r="D354" s="190" t="s">
        <v>649</v>
      </c>
      <c r="E354" s="186" t="s">
        <v>648</v>
      </c>
      <c r="F354" s="183" t="s">
        <v>377</v>
      </c>
      <c r="G354" s="186" t="s">
        <v>379</v>
      </c>
      <c r="H354" s="183" t="s">
        <v>378</v>
      </c>
      <c r="I354" s="190" t="s">
        <v>377</v>
      </c>
      <c r="J354" s="183" t="s">
        <v>376</v>
      </c>
    </row>
    <row r="355" spans="1:30" ht="17.25" customHeight="1">
      <c r="A355" s="106"/>
      <c r="C355" s="191"/>
      <c r="D355" s="190" t="s">
        <v>302</v>
      </c>
      <c r="E355" s="186" t="s">
        <v>375</v>
      </c>
      <c r="F355" s="190" t="s">
        <v>588</v>
      </c>
      <c r="G355" s="186" t="s">
        <v>420</v>
      </c>
      <c r="H355" s="190" t="s">
        <v>645</v>
      </c>
      <c r="I355" s="190" t="s">
        <v>353</v>
      </c>
      <c r="J355" s="190" t="s">
        <v>353</v>
      </c>
    </row>
    <row r="356" spans="1:30" ht="17.25" customHeight="1">
      <c r="A356" s="106"/>
      <c r="C356" s="191"/>
      <c r="D356" s="190"/>
      <c r="E356" s="186" t="s">
        <v>644</v>
      </c>
      <c r="F356" s="190" t="s">
        <v>643</v>
      </c>
      <c r="G356" s="186" t="s">
        <v>250</v>
      </c>
      <c r="H356" s="190" t="s">
        <v>353</v>
      </c>
      <c r="I356" s="186"/>
      <c r="J356" s="190"/>
    </row>
    <row r="357" spans="1:30" ht="17.25" customHeight="1">
      <c r="A357" s="106"/>
      <c r="C357" s="191"/>
      <c r="D357" s="190"/>
      <c r="E357" s="186" t="s">
        <v>360</v>
      </c>
      <c r="F357" s="190" t="s">
        <v>360</v>
      </c>
      <c r="G357" s="186" t="s">
        <v>359</v>
      </c>
      <c r="H357" s="190"/>
      <c r="I357" s="186"/>
      <c r="J357" s="190"/>
    </row>
    <row r="358" spans="1:30" ht="17.25" customHeight="1">
      <c r="A358" s="106"/>
      <c r="C358" s="191"/>
      <c r="D358" s="190"/>
      <c r="E358" s="186" t="s">
        <v>358</v>
      </c>
      <c r="F358" s="190" t="s">
        <v>358</v>
      </c>
      <c r="G358" s="186" t="s">
        <v>357</v>
      </c>
      <c r="H358" s="190"/>
      <c r="I358" s="186"/>
      <c r="J358" s="190"/>
    </row>
    <row r="359" spans="1:30" ht="17.25" customHeight="1">
      <c r="A359" s="13"/>
      <c r="B359" s="26"/>
      <c r="C359" s="14"/>
      <c r="D359" s="43"/>
      <c r="E359" s="192" t="s">
        <v>591</v>
      </c>
      <c r="F359" s="43" t="s">
        <v>591</v>
      </c>
      <c r="G359" s="192"/>
      <c r="H359" s="43"/>
      <c r="I359" s="192"/>
      <c r="J359" s="43"/>
      <c r="N359" s="204" t="s">
        <v>504</v>
      </c>
      <c r="O359" s="204" t="s">
        <v>505</v>
      </c>
      <c r="P359" s="204" t="s">
        <v>506</v>
      </c>
      <c r="Q359" s="204" t="s">
        <v>507</v>
      </c>
      <c r="R359" s="204" t="s">
        <v>508</v>
      </c>
    </row>
    <row r="360" spans="1:30" ht="17.25" customHeight="1">
      <c r="A360" s="326"/>
      <c r="B360" s="326"/>
      <c r="C360" s="326"/>
      <c r="D360" s="41"/>
      <c r="E360" s="41">
        <v>1</v>
      </c>
      <c r="F360" s="41">
        <v>2</v>
      </c>
      <c r="G360" s="41">
        <v>3</v>
      </c>
      <c r="H360" s="41">
        <v>4</v>
      </c>
      <c r="I360" s="41">
        <v>5</v>
      </c>
      <c r="J360" s="41">
        <v>6</v>
      </c>
      <c r="N360" s="205" t="e">
        <f>H72/I345</f>
        <v>#REF!</v>
      </c>
      <c r="O360" s="205" t="e">
        <f>H129/I345</f>
        <v>#REF!</v>
      </c>
      <c r="P360" s="205" t="e">
        <f>H182/I345</f>
        <v>#REF!</v>
      </c>
      <c r="Q360" s="205">
        <f>H352/$J$352</f>
        <v>0</v>
      </c>
      <c r="R360" s="205">
        <f>I352/$J$352</f>
        <v>0</v>
      </c>
    </row>
    <row r="361" spans="1:30" ht="17.25" customHeight="1">
      <c r="A361" s="97" t="s">
        <v>651</v>
      </c>
      <c r="B361" s="193"/>
      <c r="C361" s="194"/>
      <c r="D361" s="50"/>
      <c r="E361" s="188"/>
      <c r="F361" s="195"/>
      <c r="G361" s="45"/>
      <c r="H361" s="195"/>
      <c r="I361" s="45"/>
      <c r="J361" s="46"/>
      <c r="N361" s="42">
        <v>1</v>
      </c>
      <c r="O361" s="42">
        <v>2</v>
      </c>
      <c r="P361" s="42">
        <v>3</v>
      </c>
      <c r="Q361" s="42">
        <v>4</v>
      </c>
      <c r="R361" s="42">
        <v>5</v>
      </c>
      <c r="T361" s="42"/>
    </row>
    <row r="362" spans="1:30" ht="17.25" customHeight="1">
      <c r="A362" s="196" t="s">
        <v>334</v>
      </c>
      <c r="B362" s="193"/>
      <c r="C362" s="194"/>
      <c r="D362" s="197" t="s">
        <v>229</v>
      </c>
      <c r="E362" s="51">
        <f t="shared" ref="E362:G363" si="7">E89+E146+E199+E254+E308</f>
        <v>0</v>
      </c>
      <c r="F362" s="188">
        <f t="shared" si="7"/>
        <v>24616047.600000001</v>
      </c>
      <c r="G362" s="188">
        <f>G89+G146+G199+G254+G308</f>
        <v>24339820.699999999</v>
      </c>
      <c r="H362" s="188" t="e">
        <f>E362*1000/I345</f>
        <v>#REF!</v>
      </c>
      <c r="I362" s="188" t="e">
        <f>F362*1000/I345</f>
        <v>#REF!</v>
      </c>
      <c r="J362" s="188" t="e">
        <f>G362*1000/I345</f>
        <v>#REF!</v>
      </c>
      <c r="K362" s="42" t="e">
        <f>#REF!</f>
        <v>#REF!</v>
      </c>
      <c r="L362" s="42" t="e">
        <f>G362-K362</f>
        <v>#REF!</v>
      </c>
      <c r="M362" s="209"/>
      <c r="N362" s="42" t="e">
        <f>#REF!</f>
        <v>#REF!</v>
      </c>
      <c r="O362" s="42" t="e">
        <f>#REF!</f>
        <v>#REF!</v>
      </c>
      <c r="P362" s="42" t="e">
        <f>#REF!</f>
        <v>#REF!</v>
      </c>
      <c r="Q362" s="42" t="e">
        <f>#REF!</f>
        <v>#REF!</v>
      </c>
      <c r="R362" s="42" t="e">
        <f>#REF!</f>
        <v>#REF!</v>
      </c>
      <c r="S362" s="42"/>
      <c r="T362" s="42"/>
      <c r="U362" s="206"/>
    </row>
    <row r="363" spans="1:30" ht="17.25" customHeight="1">
      <c r="A363" s="196" t="s">
        <v>228</v>
      </c>
      <c r="B363" s="193"/>
      <c r="C363" s="194"/>
      <c r="D363" s="197" t="s">
        <v>211</v>
      </c>
      <c r="E363" s="51">
        <f t="shared" si="7"/>
        <v>0</v>
      </c>
      <c r="F363" s="51" t="e">
        <f t="shared" si="7"/>
        <v>#REF!</v>
      </c>
      <c r="G363" s="51" t="e">
        <f t="shared" si="7"/>
        <v>#REF!</v>
      </c>
      <c r="H363" s="188" t="e">
        <f>E363*1000/I345</f>
        <v>#REF!</v>
      </c>
      <c r="I363" s="188" t="e">
        <f>F363*1000/I345</f>
        <v>#REF!</v>
      </c>
      <c r="J363" s="188" t="e">
        <f>G363*1000/I345</f>
        <v>#REF!</v>
      </c>
      <c r="K363" s="42" t="e">
        <f>#REF!</f>
        <v>#REF!</v>
      </c>
      <c r="L363" s="42" t="e">
        <f>G363-K363</f>
        <v>#REF!</v>
      </c>
      <c r="N363" s="42" t="e">
        <f>ROUND(K363*$N$360,0)</f>
        <v>#REF!</v>
      </c>
      <c r="O363" s="42" t="e">
        <f>ROUND(K363*$O$360,0)</f>
        <v>#REF!</v>
      </c>
      <c r="P363" s="42" t="e">
        <f>ROUND(K363*$P$360,0)</f>
        <v>#REF!</v>
      </c>
      <c r="Q363" s="42" t="e">
        <f>ROUND(K363*$Q$360,0)</f>
        <v>#REF!</v>
      </c>
      <c r="R363" s="42" t="e">
        <f>ROUND(K363*$R$360,0)</f>
        <v>#REF!</v>
      </c>
      <c r="T363" s="42"/>
      <c r="U363" s="206"/>
      <c r="AD363" s="42"/>
    </row>
    <row r="364" spans="1:30" ht="17.25" customHeight="1">
      <c r="A364" s="10" t="s">
        <v>210</v>
      </c>
      <c r="B364" s="25"/>
      <c r="C364" s="11"/>
      <c r="D364" s="50"/>
      <c r="E364" s="50"/>
      <c r="F364" s="45"/>
      <c r="G364" s="45"/>
      <c r="H364" s="195"/>
      <c r="I364" s="45"/>
      <c r="J364" s="46"/>
      <c r="N364" s="42"/>
      <c r="O364" s="42"/>
      <c r="P364" s="42"/>
      <c r="Q364" s="42"/>
      <c r="R364" s="42"/>
      <c r="T364" s="42"/>
      <c r="U364" s="206"/>
    </row>
    <row r="365" spans="1:30" ht="17.25" customHeight="1">
      <c r="A365" s="13" t="s">
        <v>558</v>
      </c>
      <c r="B365" s="26"/>
      <c r="C365" s="14"/>
      <c r="D365" s="51" t="s">
        <v>323</v>
      </c>
      <c r="E365" s="51">
        <f>E92+E149+E202+E257+E311</f>
        <v>0</v>
      </c>
      <c r="F365" s="51" t="e">
        <f>F92+F149+F202+F257+F311</f>
        <v>#REF!</v>
      </c>
      <c r="G365" s="44" t="e">
        <f>G92+G149+G202+G257+G311</f>
        <v>#REF!</v>
      </c>
      <c r="H365" s="42" t="e">
        <f>E365*1000/I345</f>
        <v>#REF!</v>
      </c>
      <c r="I365" s="47" t="e">
        <f>F365*1000/I345</f>
        <v>#REF!</v>
      </c>
      <c r="J365" s="201" t="e">
        <f>G365*1000/I345</f>
        <v>#REF!</v>
      </c>
      <c r="K365" s="42" t="e">
        <f>#REF!</f>
        <v>#REF!</v>
      </c>
      <c r="L365" s="42" t="e">
        <f>G365-K365</f>
        <v>#REF!</v>
      </c>
      <c r="M365" s="209" t="e">
        <f>K365/$K$362*100</f>
        <v>#REF!</v>
      </c>
      <c r="N365" s="42" t="e">
        <f>ROUND(K365*$N$360,0)+1</f>
        <v>#REF!</v>
      </c>
      <c r="O365" s="42" t="e">
        <f>ROUND(K365*$O$360,0)</f>
        <v>#REF!</v>
      </c>
      <c r="P365" s="42" t="e">
        <f>ROUND(K365*$P$360,0)</f>
        <v>#REF!</v>
      </c>
      <c r="Q365" s="42" t="e">
        <f>ROUND(K365*$Q$360,0)</f>
        <v>#REF!</v>
      </c>
      <c r="R365" s="42" t="e">
        <f>ROUND(K365*$R$360,0)</f>
        <v>#REF!</v>
      </c>
      <c r="T365" s="42"/>
      <c r="U365" s="206"/>
    </row>
    <row r="366" spans="1:30" ht="17.25" customHeight="1">
      <c r="A366" s="10" t="s">
        <v>558</v>
      </c>
      <c r="B366" s="25"/>
      <c r="C366" s="11"/>
      <c r="E366" s="47"/>
      <c r="G366" s="47"/>
      <c r="H366" s="195"/>
      <c r="I366" s="45"/>
      <c r="J366" s="46"/>
      <c r="N366" s="42"/>
      <c r="O366" s="42"/>
      <c r="P366" s="42"/>
      <c r="Q366" s="42"/>
      <c r="R366" s="42"/>
      <c r="T366" s="42"/>
      <c r="U366" s="206"/>
    </row>
    <row r="367" spans="1:30" ht="17.25" customHeight="1">
      <c r="A367" s="106" t="s">
        <v>246</v>
      </c>
      <c r="C367" s="191"/>
      <c r="E367" s="47"/>
      <c r="G367" s="47"/>
      <c r="I367" s="47"/>
      <c r="J367" s="201"/>
      <c r="N367" s="42"/>
      <c r="O367" s="42"/>
      <c r="P367" s="42"/>
      <c r="Q367" s="42"/>
      <c r="R367" s="42"/>
      <c r="T367" s="42"/>
    </row>
    <row r="368" spans="1:30" ht="17.25" customHeight="1">
      <c r="A368" s="13" t="s">
        <v>245</v>
      </c>
      <c r="B368" s="26"/>
      <c r="C368" s="14"/>
      <c r="D368" s="42" t="s">
        <v>215</v>
      </c>
      <c r="E368" s="47">
        <f>E362+E363-E365</f>
        <v>0</v>
      </c>
      <c r="F368" s="51" t="e">
        <f>F95+F152+F205+F260+F314</f>
        <v>#REF!</v>
      </c>
      <c r="G368" s="47" t="e">
        <f>G362+G363-G365</f>
        <v>#REF!</v>
      </c>
      <c r="H368" s="202" t="e">
        <f>E368*1000/I345</f>
        <v>#REF!</v>
      </c>
      <c r="I368" s="44" t="e">
        <f>F368*1000/I345</f>
        <v>#REF!</v>
      </c>
      <c r="J368" s="48" t="e">
        <f>G368*1000/I345</f>
        <v>#REF!</v>
      </c>
      <c r="K368" s="47" t="e">
        <f>K362+K363-K365</f>
        <v>#REF!</v>
      </c>
      <c r="L368" s="42" t="e">
        <f>G368-K368</f>
        <v>#REF!</v>
      </c>
      <c r="M368" s="209" t="e">
        <f>K368/$K$362*100</f>
        <v>#REF!</v>
      </c>
      <c r="N368" s="42"/>
      <c r="O368" s="47"/>
      <c r="P368" s="47"/>
      <c r="Q368" s="47"/>
      <c r="R368" s="47"/>
    </row>
    <row r="369" spans="1:18" ht="17.25" customHeight="1">
      <c r="A369" s="98" t="s">
        <v>214</v>
      </c>
      <c r="B369" s="80"/>
      <c r="C369" s="99"/>
      <c r="D369" s="197"/>
      <c r="E369" s="188"/>
      <c r="F369" s="198"/>
      <c r="G369" s="188"/>
      <c r="H369" s="202"/>
      <c r="I369" s="44"/>
      <c r="J369" s="48"/>
      <c r="N369" s="42"/>
      <c r="O369" s="42"/>
      <c r="P369" s="42"/>
      <c r="Q369" s="42"/>
      <c r="R369" s="42"/>
    </row>
    <row r="370" spans="1:18" ht="17.25" customHeight="1">
      <c r="A370" s="196" t="s">
        <v>213</v>
      </c>
      <c r="B370" s="193"/>
      <c r="C370" s="194"/>
      <c r="D370" s="197" t="s">
        <v>227</v>
      </c>
      <c r="E370" s="51">
        <f>E97+E154+E207+E262+E316</f>
        <v>0</v>
      </c>
      <c r="F370" s="51" t="e">
        <f>F97+F154+F207+F262+F316</f>
        <v>#REF!</v>
      </c>
      <c r="G370" s="44" t="e">
        <f>G97+G154+G207+G262+G316</f>
        <v>#REF!</v>
      </c>
      <c r="H370" s="195" t="e">
        <f>E370*1000/I345</f>
        <v>#REF!</v>
      </c>
      <c r="I370" s="45" t="e">
        <f>F370*1000/I345</f>
        <v>#REF!</v>
      </c>
      <c r="J370" s="46" t="e">
        <f>G370*1000/I345</f>
        <v>#REF!</v>
      </c>
      <c r="K370" s="42" t="e">
        <f>#REF!</f>
        <v>#REF!</v>
      </c>
      <c r="L370" s="42" t="e">
        <f>G370-K370</f>
        <v>#REF!</v>
      </c>
      <c r="M370" s="209" t="e">
        <f>K370/$K$362*100</f>
        <v>#REF!</v>
      </c>
      <c r="N370" s="42" t="e">
        <f>ROUND(K370*$N$360,0)</f>
        <v>#REF!</v>
      </c>
      <c r="O370" s="42" t="e">
        <f>ROUND(K370*$O$360,0)</f>
        <v>#REF!</v>
      </c>
      <c r="P370" s="42" t="e">
        <f>ROUND(K370*$P$360,0)</f>
        <v>#REF!</v>
      </c>
      <c r="Q370" s="42" t="e">
        <f>ROUND(K370*$Q$360,0)</f>
        <v>#REF!</v>
      </c>
      <c r="R370" s="42" t="e">
        <f>ROUND(K370*$R$360,0)</f>
        <v>#REF!</v>
      </c>
    </row>
    <row r="371" spans="1:18" ht="17.25" customHeight="1">
      <c r="A371" s="10" t="s">
        <v>585</v>
      </c>
      <c r="B371" s="25"/>
      <c r="C371" s="11"/>
      <c r="E371" s="50"/>
      <c r="F371" s="45"/>
      <c r="G371" s="45"/>
      <c r="H371" s="195"/>
      <c r="I371" s="45"/>
      <c r="J371" s="46"/>
      <c r="N371" s="42"/>
      <c r="O371" s="42"/>
      <c r="P371" s="42"/>
      <c r="Q371" s="42"/>
      <c r="R371" s="42"/>
    </row>
    <row r="372" spans="1:18" ht="17.25" customHeight="1">
      <c r="A372" s="106" t="s">
        <v>584</v>
      </c>
      <c r="C372" s="191"/>
      <c r="E372" s="200"/>
      <c r="F372" s="47"/>
      <c r="G372" s="47"/>
      <c r="I372" s="47"/>
      <c r="J372" s="201"/>
      <c r="N372" s="42"/>
      <c r="O372" s="42"/>
      <c r="P372" s="42"/>
      <c r="Q372" s="42"/>
      <c r="R372" s="42"/>
    </row>
    <row r="373" spans="1:18" ht="17.25" customHeight="1">
      <c r="A373" s="13" t="s">
        <v>583</v>
      </c>
      <c r="B373" s="26"/>
      <c r="C373" s="14"/>
      <c r="D373" s="42" t="s">
        <v>532</v>
      </c>
      <c r="E373" s="51">
        <f>E100+E157+E210+E265+E319</f>
        <v>0</v>
      </c>
      <c r="F373" s="51" t="e">
        <f>F100+F157+F210+F265+F319</f>
        <v>#REF!</v>
      </c>
      <c r="G373" s="44" t="e">
        <f>G100+G157+G210+G265+G319</f>
        <v>#REF!</v>
      </c>
      <c r="H373" s="42" t="e">
        <f>E373*1000/I345</f>
        <v>#REF!</v>
      </c>
      <c r="I373" s="47" t="e">
        <f>F373*1000/I345</f>
        <v>#REF!</v>
      </c>
      <c r="J373" s="201" t="e">
        <f>G373*1000/I345</f>
        <v>#REF!</v>
      </c>
      <c r="K373" s="42" t="e">
        <f>#REF!</f>
        <v>#REF!</v>
      </c>
      <c r="L373" s="42" t="e">
        <f>G373-K373</f>
        <v>#REF!</v>
      </c>
      <c r="M373" s="209" t="e">
        <f>K373/$K$362*100</f>
        <v>#REF!</v>
      </c>
      <c r="N373" s="42" t="e">
        <f>ROUND(K373*$N$360,0)</f>
        <v>#REF!</v>
      </c>
      <c r="O373" s="42" t="e">
        <f>ROUND(K373*$O$360,0)</f>
        <v>#REF!</v>
      </c>
      <c r="P373" s="42" t="e">
        <f>ROUND(K373*$P$360,0)</f>
        <v>#REF!</v>
      </c>
      <c r="Q373" s="42" t="e">
        <f>ROUND(K373*$Q$360,0)</f>
        <v>#REF!</v>
      </c>
      <c r="R373" s="42" t="e">
        <f>ROUND(K373*$R$360,0)</f>
        <v>#REF!</v>
      </c>
    </row>
    <row r="374" spans="1:18" ht="17.25" customHeight="1">
      <c r="A374" s="10" t="s">
        <v>529</v>
      </c>
      <c r="B374" s="25"/>
      <c r="C374" s="11"/>
      <c r="D374" s="50"/>
      <c r="E374" s="200"/>
      <c r="F374" s="47"/>
      <c r="G374" s="47"/>
      <c r="H374" s="195"/>
      <c r="I374" s="45"/>
      <c r="J374" s="46"/>
      <c r="N374" s="42"/>
      <c r="O374" s="42"/>
      <c r="P374" s="42"/>
      <c r="Q374" s="42"/>
      <c r="R374" s="42"/>
    </row>
    <row r="375" spans="1:18" ht="17.25" customHeight="1">
      <c r="A375" s="13" t="s">
        <v>528</v>
      </c>
      <c r="B375" s="26"/>
      <c r="C375" s="14"/>
      <c r="D375" s="51" t="s">
        <v>527</v>
      </c>
      <c r="E375" s="51">
        <f>E102+E159+E212+E267+E321</f>
        <v>0</v>
      </c>
      <c r="F375" s="51" t="e">
        <f>F102+F159+F212+F267+F321</f>
        <v>#REF!</v>
      </c>
      <c r="G375" s="44" t="e">
        <f>G102+G159+G212+G267+G321</f>
        <v>#REF!</v>
      </c>
      <c r="H375" s="202" t="e">
        <f>E375*1000/I345</f>
        <v>#REF!</v>
      </c>
      <c r="I375" s="44" t="e">
        <f>F375*1000/I345</f>
        <v>#REF!</v>
      </c>
      <c r="J375" s="48" t="e">
        <f>G375*1000/I345</f>
        <v>#REF!</v>
      </c>
      <c r="K375" s="42" t="e">
        <f>#REF!</f>
        <v>#REF!</v>
      </c>
      <c r="L375" s="42" t="e">
        <f>G375-K375</f>
        <v>#REF!</v>
      </c>
      <c r="M375" s="209" t="e">
        <f>K375/$K$362*100</f>
        <v>#REF!</v>
      </c>
      <c r="N375" s="42" t="e">
        <f>ROUND(K375*$N$360,0)</f>
        <v>#REF!</v>
      </c>
      <c r="O375" s="42" t="e">
        <f>ROUND(K375*$O$360,0)</f>
        <v>#REF!</v>
      </c>
      <c r="P375" s="42" t="e">
        <f>ROUND(K375*$P$360,0)</f>
        <v>#REF!</v>
      </c>
      <c r="Q375" s="42" t="e">
        <f>ROUND(K375*$Q$360,0)</f>
        <v>#REF!</v>
      </c>
      <c r="R375" s="42" t="e">
        <f>ROUND(K375*$R$360,0)</f>
        <v>#REF!</v>
      </c>
    </row>
    <row r="376" spans="1:18" ht="17.25" customHeight="1">
      <c r="A376" s="106" t="s">
        <v>526</v>
      </c>
      <c r="C376" s="191"/>
      <c r="E376" s="200"/>
      <c r="F376" s="47"/>
      <c r="G376" s="47"/>
      <c r="I376" s="47"/>
      <c r="J376" s="201"/>
      <c r="N376" s="42"/>
      <c r="O376" s="42"/>
      <c r="P376" s="42"/>
      <c r="Q376" s="42"/>
      <c r="R376" s="42"/>
    </row>
    <row r="377" spans="1:18" ht="17.25" customHeight="1">
      <c r="A377" s="13" t="s">
        <v>525</v>
      </c>
      <c r="B377" s="26"/>
      <c r="C377" s="14"/>
      <c r="D377" s="42" t="s">
        <v>369</v>
      </c>
      <c r="E377" s="51">
        <f>E104+E161+E214+E269+E323</f>
        <v>0</v>
      </c>
      <c r="F377" s="51" t="e">
        <f>F104+F161+F214+F269+F323</f>
        <v>#REF!</v>
      </c>
      <c r="G377" s="44" t="e">
        <f>G104+G161+G214+G269+G323</f>
        <v>#REF!</v>
      </c>
      <c r="H377" s="202" t="e">
        <f>E377*1000/I345</f>
        <v>#REF!</v>
      </c>
      <c r="I377" s="44" t="e">
        <f>F377*1000/I345</f>
        <v>#REF!</v>
      </c>
      <c r="J377" s="48" t="e">
        <f>G377*1000/I345</f>
        <v>#REF!</v>
      </c>
      <c r="K377" s="42" t="e">
        <f>#REF!+#REF!+#REF!+#REF!+#REF!+#REF!</f>
        <v>#REF!</v>
      </c>
      <c r="L377" s="42" t="e">
        <f>G377-K377</f>
        <v>#REF!</v>
      </c>
      <c r="N377" s="42" t="e">
        <f>ROUND(K377*$N$360,0)</f>
        <v>#REF!</v>
      </c>
      <c r="O377" s="42" t="e">
        <f>ROUND(K377*$O$360,0)</f>
        <v>#REF!</v>
      </c>
      <c r="P377" s="42" t="e">
        <f>ROUND(K377*$P$360,0)</f>
        <v>#REF!</v>
      </c>
      <c r="Q377" s="42" t="e">
        <f>ROUND(K377*$Q$360,0)</f>
        <v>#REF!</v>
      </c>
      <c r="R377" s="42" t="e">
        <f>ROUND(K377*$R$360,0)</f>
        <v>#REF!</v>
      </c>
    </row>
    <row r="378" spans="1:18" ht="17.25" customHeight="1">
      <c r="A378" s="10" t="s">
        <v>368</v>
      </c>
      <c r="B378" s="25"/>
      <c r="C378" s="11"/>
      <c r="D378" s="50"/>
      <c r="E378" s="47"/>
      <c r="G378" s="45"/>
      <c r="I378" s="47"/>
      <c r="J378" s="47"/>
      <c r="N378" s="42"/>
      <c r="O378" s="42"/>
      <c r="P378" s="42"/>
      <c r="Q378" s="42"/>
      <c r="R378" s="42"/>
    </row>
    <row r="379" spans="1:18" ht="17.25" customHeight="1">
      <c r="A379" s="13" t="s">
        <v>418</v>
      </c>
      <c r="B379" s="26"/>
      <c r="C379" s="14"/>
      <c r="D379" s="51" t="s">
        <v>662</v>
      </c>
      <c r="E379" s="51">
        <f>E106+E163+E216+E271+E325</f>
        <v>0</v>
      </c>
      <c r="F379" s="51" t="e">
        <f>F106+F163+F216+F271+F325</f>
        <v>#REF!</v>
      </c>
      <c r="G379" s="44" t="e">
        <f>G370+G373+G375+G377</f>
        <v>#REF!</v>
      </c>
      <c r="H379" s="48" t="e">
        <f>E379*1000/I345</f>
        <v>#REF!</v>
      </c>
      <c r="I379" s="44" t="e">
        <f>F379*1000/I345</f>
        <v>#REF!</v>
      </c>
      <c r="J379" s="44" t="e">
        <f>G379*1000/I345</f>
        <v>#REF!</v>
      </c>
      <c r="K379" s="44" t="e">
        <f>K370+K373+K375+K377</f>
        <v>#REF!</v>
      </c>
      <c r="L379" s="42" t="e">
        <f>G379-K379</f>
        <v>#REF!</v>
      </c>
      <c r="N379" s="42"/>
      <c r="O379" s="44"/>
      <c r="P379" s="44"/>
      <c r="Q379" s="44"/>
      <c r="R379" s="44"/>
    </row>
    <row r="380" spans="1:18" ht="17.25" customHeight="1">
      <c r="A380" s="10"/>
      <c r="B380" s="25"/>
      <c r="C380" s="11"/>
      <c r="D380" s="195"/>
      <c r="E380" s="45"/>
      <c r="F380" s="195"/>
      <c r="G380" s="45"/>
      <c r="H380" s="195"/>
      <c r="I380" s="45"/>
      <c r="J380" s="45"/>
      <c r="N380" s="42"/>
      <c r="O380" s="42"/>
      <c r="P380" s="42"/>
      <c r="Q380" s="42"/>
      <c r="R380" s="42"/>
    </row>
    <row r="381" spans="1:18" ht="17.25" customHeight="1">
      <c r="A381" s="13" t="s">
        <v>262</v>
      </c>
      <c r="B381" s="26"/>
      <c r="C381" s="14"/>
      <c r="D381" s="202"/>
      <c r="E381" s="44"/>
      <c r="F381" s="51">
        <f>F108+F165+F218+F273+F327</f>
        <v>0</v>
      </c>
      <c r="G381" s="44">
        <f>G108+G165+G218+G273+G327</f>
        <v>0</v>
      </c>
      <c r="H381" s="202"/>
      <c r="I381" s="44" t="e">
        <f>F381*1000/I345</f>
        <v>#REF!</v>
      </c>
      <c r="J381" s="44" t="e">
        <f>G381*1000/I345</f>
        <v>#REF!</v>
      </c>
      <c r="N381" s="42"/>
      <c r="O381" s="42"/>
      <c r="P381" s="42"/>
      <c r="Q381" s="42"/>
      <c r="R381" s="42"/>
    </row>
    <row r="382" spans="1:18" ht="17.25" customHeight="1">
      <c r="A382" s="106" t="s">
        <v>661</v>
      </c>
      <c r="C382" s="191"/>
      <c r="E382" s="47"/>
      <c r="G382" s="45"/>
      <c r="I382" s="47"/>
      <c r="J382" s="47"/>
      <c r="N382" s="42"/>
      <c r="O382" s="42"/>
      <c r="P382" s="42"/>
      <c r="Q382" s="42"/>
      <c r="R382" s="42"/>
    </row>
    <row r="383" spans="1:18" ht="17.25" customHeight="1">
      <c r="A383" s="106" t="s">
        <v>516</v>
      </c>
      <c r="C383" s="191"/>
      <c r="D383" s="42" t="s">
        <v>515</v>
      </c>
      <c r="E383" s="47">
        <f>E368+E379</f>
        <v>0</v>
      </c>
      <c r="F383" s="51" t="e">
        <f>F110+F167+F220+F275+F329</f>
        <v>#REF!</v>
      </c>
      <c r="G383" s="44" t="e">
        <f>G368+G379+G381</f>
        <v>#REF!</v>
      </c>
      <c r="H383" s="48" t="e">
        <f>E383*1000/I349</f>
        <v>#DIV/0!</v>
      </c>
      <c r="I383" s="47" t="e">
        <f>F383*1000/H345</f>
        <v>#REF!</v>
      </c>
      <c r="J383" s="47" t="e">
        <f>G383*1000/H345</f>
        <v>#REF!</v>
      </c>
      <c r="K383" s="44" t="e">
        <f>K368+K379+K381</f>
        <v>#REF!</v>
      </c>
      <c r="L383" s="42" t="e">
        <f>G383-K383</f>
        <v>#REF!</v>
      </c>
      <c r="N383" s="42"/>
      <c r="O383" s="44">
        <f>O368+O379+O381</f>
        <v>0</v>
      </c>
      <c r="P383" s="44">
        <f>P368+P379+P381</f>
        <v>0</v>
      </c>
      <c r="Q383" s="44">
        <f>Q368+Q379+Q381</f>
        <v>0</v>
      </c>
      <c r="R383" s="44">
        <f>R368+R379+R381</f>
        <v>0</v>
      </c>
    </row>
    <row r="384" spans="1:18" ht="17.25" customHeight="1">
      <c r="A384" s="10" t="s">
        <v>514</v>
      </c>
      <c r="B384" s="25"/>
      <c r="C384" s="11"/>
      <c r="D384" s="50"/>
      <c r="E384" s="45"/>
      <c r="F384" s="50"/>
      <c r="G384" s="45"/>
      <c r="H384" s="195"/>
      <c r="I384" s="45"/>
      <c r="J384" s="46"/>
      <c r="N384" s="42"/>
      <c r="O384" s="42">
        <f>T363</f>
        <v>0</v>
      </c>
      <c r="P384" s="42">
        <f>T364</f>
        <v>0</v>
      </c>
      <c r="Q384" s="42">
        <f>T365</f>
        <v>0</v>
      </c>
      <c r="R384" s="42">
        <f>T366</f>
        <v>0</v>
      </c>
    </row>
    <row r="385" spans="1:18" ht="17.25" customHeight="1">
      <c r="A385" s="13" t="s">
        <v>393</v>
      </c>
      <c r="B385" s="26"/>
      <c r="C385" s="14"/>
      <c r="D385" s="51" t="s">
        <v>540</v>
      </c>
      <c r="E385" s="51">
        <v>0</v>
      </c>
      <c r="F385" s="51" t="e">
        <f>F112+F169+F222+F277+F331</f>
        <v>#REF!</v>
      </c>
      <c r="G385" s="44" t="e">
        <f>G112+G169+G222+G277+G331</f>
        <v>#REF!</v>
      </c>
      <c r="H385" s="202" t="e">
        <f>E385*1000/I345</f>
        <v>#REF!</v>
      </c>
      <c r="I385" s="44" t="e">
        <f>F385*1000/I345</f>
        <v>#REF!</v>
      </c>
      <c r="J385" s="48" t="e">
        <f>G385*1000/I345</f>
        <v>#REF!</v>
      </c>
      <c r="N385" s="42"/>
      <c r="O385" s="42">
        <f>O383-O384</f>
        <v>0</v>
      </c>
      <c r="P385" s="42">
        <f>P383-P384</f>
        <v>0</v>
      </c>
      <c r="Q385" s="42">
        <f>Q383-Q384</f>
        <v>0</v>
      </c>
      <c r="R385" s="42">
        <f>R383-R384</f>
        <v>0</v>
      </c>
    </row>
    <row r="386" spans="1:18" s="9" customFormat="1">
      <c r="A386" s="176"/>
      <c r="E386" s="49"/>
      <c r="F386" s="49" t="e">
        <f>'Вспом-1'!G17</f>
        <v>#REF!</v>
      </c>
      <c r="G386" s="49" t="e">
        <f>'Вспом-1'!H17</f>
        <v>#REF!</v>
      </c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</row>
    <row r="387" spans="1:18" s="9" customFormat="1">
      <c r="A387" s="176"/>
      <c r="E387" s="49"/>
      <c r="F387" s="49" t="e">
        <f>F365</f>
        <v>#REF!</v>
      </c>
      <c r="G387" s="49" t="e">
        <f>G365</f>
        <v>#REF!</v>
      </c>
      <c r="H387" s="49"/>
      <c r="I387" s="49"/>
      <c r="J387" s="49"/>
      <c r="K387" s="49"/>
      <c r="L387" s="49"/>
      <c r="M387" s="49"/>
    </row>
    <row r="388" spans="1:18" s="9" customFormat="1">
      <c r="A388" s="176"/>
      <c r="E388" s="49"/>
      <c r="F388" s="49" t="e">
        <f>'Вспом-1'!D23</f>
        <v>#REF!</v>
      </c>
      <c r="G388" s="49" t="e">
        <f>F388</f>
        <v>#REF!</v>
      </c>
      <c r="H388" s="49"/>
      <c r="I388" s="49"/>
      <c r="J388" s="49"/>
      <c r="K388" s="49"/>
      <c r="L388" s="49"/>
      <c r="M388" s="49"/>
    </row>
    <row r="389" spans="1:18" s="9" customFormat="1">
      <c r="E389" s="49"/>
      <c r="F389" s="49" t="e">
        <f>F387+F386+F383+F388</f>
        <v>#REF!</v>
      </c>
      <c r="G389" s="49" t="e">
        <f>G387+G386+G383+G388</f>
        <v>#REF!</v>
      </c>
      <c r="H389" s="49"/>
      <c r="I389" s="49"/>
      <c r="J389" s="49"/>
      <c r="K389" s="49"/>
      <c r="L389" s="49"/>
      <c r="M389" s="49"/>
    </row>
    <row r="390" spans="1:18" s="9" customFormat="1">
      <c r="E390" s="49"/>
      <c r="F390" s="49" t="e">
        <f>F389-'Вспом-1'!G29</f>
        <v>#REF!</v>
      </c>
      <c r="G390" s="49" t="e">
        <f>G389-'Вспом-1'!H29</f>
        <v>#REF!</v>
      </c>
      <c r="H390" s="49"/>
      <c r="I390" s="49"/>
      <c r="J390" s="49"/>
      <c r="K390" s="49"/>
      <c r="L390" s="49"/>
      <c r="M390" s="49"/>
    </row>
    <row r="391" spans="1:18" s="9" customFormat="1">
      <c r="E391" s="49"/>
      <c r="F391" s="49"/>
      <c r="G391" s="49"/>
      <c r="H391" s="49"/>
      <c r="I391" s="49"/>
      <c r="J391" s="49"/>
      <c r="K391" s="49"/>
      <c r="L391" s="49"/>
      <c r="M391" s="49"/>
    </row>
    <row r="392" spans="1:18" s="9" customFormat="1">
      <c r="E392" s="49"/>
      <c r="F392" s="49"/>
      <c r="G392" s="49"/>
      <c r="H392" s="49"/>
      <c r="I392" s="49"/>
      <c r="J392" s="49"/>
      <c r="K392" s="49"/>
      <c r="L392" s="49"/>
      <c r="M392" s="49"/>
    </row>
    <row r="393" spans="1:18">
      <c r="D393"/>
      <c r="J393" s="42"/>
    </row>
    <row r="394" spans="1:18">
      <c r="D394"/>
      <c r="J394" s="42"/>
    </row>
    <row r="395" spans="1:18">
      <c r="D395"/>
      <c r="J395" s="42"/>
    </row>
    <row r="396" spans="1:18">
      <c r="D396"/>
      <c r="J396" s="42"/>
    </row>
    <row r="397" spans="1:18">
      <c r="D397"/>
      <c r="J397" s="42"/>
    </row>
    <row r="398" spans="1:18">
      <c r="D398"/>
      <c r="J398" s="42"/>
    </row>
    <row r="399" spans="1:18">
      <c r="D399"/>
      <c r="J399" s="42"/>
    </row>
    <row r="400" spans="1:18">
      <c r="D400"/>
      <c r="J400" s="42"/>
    </row>
    <row r="401" spans="1:10">
      <c r="D401"/>
      <c r="J401" s="42"/>
    </row>
    <row r="402" spans="1:10">
      <c r="D402"/>
      <c r="J402" s="42"/>
    </row>
    <row r="403" spans="1:10">
      <c r="D403"/>
      <c r="J403" s="42"/>
    </row>
    <row r="405" spans="1:10">
      <c r="A405" t="s">
        <v>349</v>
      </c>
    </row>
    <row r="407" spans="1:10">
      <c r="A407" s="10"/>
      <c r="B407" s="25"/>
      <c r="C407" s="25"/>
      <c r="D407" s="46"/>
      <c r="E407" s="50" t="s">
        <v>238</v>
      </c>
      <c r="F407" s="46"/>
      <c r="G407" s="195" t="s">
        <v>546</v>
      </c>
      <c r="H407" s="46"/>
    </row>
    <row r="408" spans="1:10">
      <c r="A408" s="13"/>
      <c r="B408" s="26"/>
      <c r="C408" s="26"/>
      <c r="D408" s="48"/>
      <c r="E408" s="51"/>
      <c r="F408" s="48"/>
      <c r="G408" s="202"/>
      <c r="H408" s="48"/>
    </row>
    <row r="409" spans="1:10">
      <c r="A409" s="10" t="s">
        <v>208</v>
      </c>
      <c r="B409" s="25"/>
      <c r="C409" s="25"/>
      <c r="D409" s="46"/>
      <c r="E409" s="50"/>
      <c r="F409" s="46"/>
      <c r="G409" s="195"/>
      <c r="H409" s="46"/>
    </row>
    <row r="410" spans="1:10">
      <c r="A410" s="13" t="s">
        <v>207</v>
      </c>
      <c r="B410" s="26"/>
      <c r="C410" s="26"/>
      <c r="D410" s="48"/>
      <c r="E410" s="51"/>
      <c r="F410" s="48"/>
      <c r="G410" s="202"/>
      <c r="H410" s="48"/>
    </row>
    <row r="411" spans="1:10">
      <c r="A411" s="10"/>
      <c r="B411" s="25"/>
      <c r="C411" s="25"/>
      <c r="D411" s="46"/>
      <c r="E411" s="50"/>
      <c r="F411" s="46"/>
      <c r="G411" s="195"/>
      <c r="H411" s="46"/>
    </row>
    <row r="412" spans="1:10">
      <c r="A412" s="13" t="s">
        <v>206</v>
      </c>
      <c r="B412" s="26"/>
      <c r="C412" s="26"/>
      <c r="D412" s="48"/>
      <c r="E412" s="51"/>
      <c r="F412" s="48"/>
      <c r="G412" s="202"/>
      <c r="H412" s="48"/>
    </row>
    <row r="413" spans="1:10">
      <c r="A413" s="10"/>
      <c r="B413" s="25"/>
      <c r="C413" s="25"/>
      <c r="D413" s="46"/>
      <c r="E413" s="50"/>
      <c r="F413" s="46"/>
      <c r="G413" s="195"/>
      <c r="H413" s="46"/>
    </row>
    <row r="414" spans="1:10">
      <c r="A414" s="106" t="s">
        <v>503</v>
      </c>
      <c r="D414" s="201"/>
      <c r="E414" s="200"/>
      <c r="F414" s="201"/>
      <c r="H414" s="201"/>
    </row>
    <row r="415" spans="1:10">
      <c r="A415" s="13" t="s">
        <v>502</v>
      </c>
      <c r="B415" s="26"/>
      <c r="C415" s="26"/>
      <c r="D415" s="48"/>
      <c r="E415" s="51"/>
      <c r="F415" s="48"/>
      <c r="G415" s="202"/>
      <c r="H415" s="48"/>
    </row>
    <row r="416" spans="1:10">
      <c r="A416" s="10"/>
      <c r="B416" s="25"/>
      <c r="C416" s="25"/>
      <c r="D416" s="46"/>
      <c r="E416" s="50"/>
      <c r="F416" s="46"/>
      <c r="G416" s="195"/>
      <c r="H416" s="46"/>
    </row>
    <row r="417" spans="1:8">
      <c r="A417" s="106" t="s">
        <v>501</v>
      </c>
      <c r="D417" s="201"/>
      <c r="E417" s="200"/>
      <c r="F417" s="201"/>
      <c r="H417" s="201"/>
    </row>
    <row r="418" spans="1:8">
      <c r="A418" s="13" t="s">
        <v>500</v>
      </c>
      <c r="B418" s="26"/>
      <c r="C418" s="26"/>
      <c r="D418" s="48"/>
      <c r="E418" s="51"/>
      <c r="F418" s="48"/>
      <c r="G418" s="202"/>
      <c r="H418" s="48"/>
    </row>
    <row r="419" spans="1:8">
      <c r="A419" s="10"/>
      <c r="B419" s="25"/>
      <c r="C419" s="25"/>
      <c r="D419" s="46"/>
      <c r="E419" s="50"/>
      <c r="F419" s="46"/>
      <c r="G419" s="195"/>
      <c r="H419" s="46"/>
    </row>
    <row r="420" spans="1:8">
      <c r="A420" s="13" t="s">
        <v>308</v>
      </c>
      <c r="B420" s="26"/>
      <c r="C420" s="26"/>
      <c r="D420" s="48"/>
      <c r="E420" s="51"/>
      <c r="F420" s="48"/>
      <c r="G420" s="202"/>
      <c r="H420" s="48"/>
    </row>
    <row r="421" spans="1:8">
      <c r="A421" s="10"/>
      <c r="B421" s="25"/>
      <c r="C421" s="25"/>
      <c r="D421" s="46"/>
      <c r="E421" s="50"/>
      <c r="F421" s="46"/>
      <c r="G421" s="195"/>
      <c r="H421" s="46"/>
    </row>
    <row r="422" spans="1:8">
      <c r="A422" s="13" t="s">
        <v>307</v>
      </c>
      <c r="B422" s="26"/>
      <c r="C422" s="26"/>
      <c r="D422" s="48"/>
      <c r="E422" s="51"/>
      <c r="F422" s="48"/>
      <c r="G422" s="202"/>
      <c r="H422" s="48"/>
    </row>
    <row r="423" spans="1:8">
      <c r="A423" s="10"/>
      <c r="B423" s="25"/>
      <c r="C423" s="25"/>
      <c r="D423" s="46"/>
      <c r="E423" s="50"/>
      <c r="F423" s="46"/>
      <c r="G423" s="195"/>
      <c r="H423" s="46"/>
    </row>
    <row r="424" spans="1:8">
      <c r="A424" s="13" t="s">
        <v>424</v>
      </c>
      <c r="B424" s="26"/>
      <c r="C424" s="26"/>
      <c r="D424" s="48"/>
      <c r="E424" s="51"/>
      <c r="F424" s="48"/>
      <c r="G424" s="202"/>
      <c r="H424" s="48"/>
    </row>
    <row r="428" spans="1:8">
      <c r="A428" s="9" t="s">
        <v>423</v>
      </c>
      <c r="B428" s="9"/>
      <c r="C428" s="9"/>
      <c r="D428" s="49"/>
      <c r="E428" s="49"/>
      <c r="F428" s="49" t="s">
        <v>523</v>
      </c>
      <c r="G428" s="49"/>
    </row>
    <row r="429" spans="1:8">
      <c r="A429" s="9"/>
      <c r="B429" s="9"/>
      <c r="C429" s="9"/>
      <c r="D429" s="49"/>
      <c r="E429" s="49"/>
      <c r="F429" s="49"/>
      <c r="G429" s="49"/>
    </row>
    <row r="430" spans="1:8">
      <c r="A430" s="9" t="s">
        <v>638</v>
      </c>
      <c r="B430" s="9"/>
      <c r="C430" s="9"/>
      <c r="D430" s="49"/>
      <c r="E430" s="49"/>
      <c r="F430" s="49" t="s">
        <v>659</v>
      </c>
      <c r="G430" s="49"/>
    </row>
    <row r="431" spans="1:8">
      <c r="A431" s="9"/>
      <c r="B431" s="9"/>
      <c r="C431" s="9"/>
      <c r="D431" s="49"/>
      <c r="E431" s="49"/>
      <c r="F431" s="49"/>
      <c r="G431" s="49"/>
    </row>
    <row r="432" spans="1:8">
      <c r="A432" s="9" t="s">
        <v>524</v>
      </c>
      <c r="B432" s="9"/>
      <c r="C432" s="9"/>
      <c r="D432" s="49"/>
      <c r="E432" s="49"/>
      <c r="F432" s="49" t="s">
        <v>523</v>
      </c>
      <c r="G432" s="49"/>
    </row>
  </sheetData>
  <mergeCells count="38">
    <mergeCell ref="H353:J353"/>
    <mergeCell ref="H299:J299"/>
    <mergeCell ref="A300:C300"/>
    <mergeCell ref="H190:J190"/>
    <mergeCell ref="A191:C191"/>
    <mergeCell ref="A197:C197"/>
    <mergeCell ref="H245:J245"/>
    <mergeCell ref="A299:C299"/>
    <mergeCell ref="E299:G299"/>
    <mergeCell ref="A245:C245"/>
    <mergeCell ref="A354:C354"/>
    <mergeCell ref="A360:C360"/>
    <mergeCell ref="A190:C190"/>
    <mergeCell ref="E190:G190"/>
    <mergeCell ref="A246:C246"/>
    <mergeCell ref="A252:C252"/>
    <mergeCell ref="A306:C306"/>
    <mergeCell ref="A353:C353"/>
    <mergeCell ref="E353:G353"/>
    <mergeCell ref="E245:G245"/>
    <mergeCell ref="A138:C138"/>
    <mergeCell ref="B33:G33"/>
    <mergeCell ref="A144:C144"/>
    <mergeCell ref="A80:C80"/>
    <mergeCell ref="E80:G80"/>
    <mergeCell ref="A87:C87"/>
    <mergeCell ref="A137:C137"/>
    <mergeCell ref="E137:G137"/>
    <mergeCell ref="H137:J137"/>
    <mergeCell ref="H80:J80"/>
    <mergeCell ref="A81:C81"/>
    <mergeCell ref="B6:G6"/>
    <mergeCell ref="B8:G8"/>
    <mergeCell ref="B22:G22"/>
    <mergeCell ref="B23:G23"/>
    <mergeCell ref="B24:G24"/>
    <mergeCell ref="B30:G30"/>
    <mergeCell ref="B31:G31"/>
  </mergeCells>
  <phoneticPr fontId="5" type="noConversion"/>
  <pageMargins left="0.83" right="0.2" top="0.56999999999999995" bottom="7.874015748031496E-2" header="0.51181102362204722" footer="0.4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24"/>
  <dimension ref="A2:H34"/>
  <sheetViews>
    <sheetView workbookViewId="0"/>
  </sheetViews>
  <sheetFormatPr defaultRowHeight="13.2"/>
  <cols>
    <col min="1" max="1" width="7.33203125" customWidth="1"/>
    <col min="2" max="2" width="29.88671875" customWidth="1"/>
    <col min="3" max="3" width="10.33203125" style="103" bestFit="1" customWidth="1"/>
    <col min="4" max="4" width="9.109375" style="103"/>
  </cols>
  <sheetData>
    <row r="2" spans="1:4" ht="17.399999999999999">
      <c r="A2" s="317" t="s">
        <v>621</v>
      </c>
      <c r="B2" s="317"/>
      <c r="C2" s="317"/>
      <c r="D2" s="317"/>
    </row>
    <row r="3" spans="1:4" ht="15.6">
      <c r="A3" s="316" t="s">
        <v>622</v>
      </c>
      <c r="B3" s="316"/>
      <c r="C3" s="316"/>
      <c r="D3" s="316"/>
    </row>
    <row r="4" spans="1:4" ht="15.6">
      <c r="A4" s="316" t="s">
        <v>106</v>
      </c>
      <c r="B4" s="316"/>
      <c r="C4" s="316"/>
      <c r="D4" s="316"/>
    </row>
    <row r="5" spans="1:4" ht="15.6">
      <c r="A5" s="100"/>
      <c r="B5" s="100"/>
      <c r="C5" s="100"/>
      <c r="D5" s="100"/>
    </row>
    <row r="6" spans="1:4">
      <c r="A6" s="10"/>
      <c r="B6" s="12"/>
      <c r="C6" s="104" t="s">
        <v>623</v>
      </c>
      <c r="D6" s="105"/>
    </row>
    <row r="7" spans="1:4">
      <c r="A7" s="106"/>
      <c r="B7" s="21"/>
      <c r="C7" s="19" t="s">
        <v>624</v>
      </c>
      <c r="D7" s="19" t="s">
        <v>625</v>
      </c>
    </row>
    <row r="8" spans="1:4">
      <c r="A8" s="13"/>
      <c r="B8" s="15"/>
      <c r="C8" s="20" t="s">
        <v>626</v>
      </c>
      <c r="D8" s="20" t="s">
        <v>626</v>
      </c>
    </row>
    <row r="9" spans="1:4" ht="19.5" customHeight="1">
      <c r="A9" s="15">
        <v>1</v>
      </c>
      <c r="B9" s="15" t="s">
        <v>627</v>
      </c>
      <c r="C9" s="43">
        <f>C14+C15+C16+C18</f>
        <v>0</v>
      </c>
      <c r="D9" s="43">
        <f>D14+D15+D16+D18</f>
        <v>0</v>
      </c>
    </row>
    <row r="10" spans="1:4" ht="19.5" customHeight="1">
      <c r="A10" s="8"/>
      <c r="B10" s="8" t="s">
        <v>628</v>
      </c>
      <c r="C10" s="41"/>
      <c r="D10" s="41"/>
    </row>
    <row r="11" spans="1:4" ht="19.5" customHeight="1">
      <c r="A11" s="8"/>
      <c r="B11" s="8" t="s">
        <v>629</v>
      </c>
      <c r="C11" s="41"/>
      <c r="D11" s="41"/>
    </row>
    <row r="12" spans="1:4" ht="19.5" customHeight="1">
      <c r="A12" s="8"/>
      <c r="B12" s="8" t="s">
        <v>630</v>
      </c>
      <c r="C12" s="41"/>
      <c r="D12" s="41"/>
    </row>
    <row r="13" spans="1:4" ht="19.5" customHeight="1">
      <c r="A13" s="8"/>
      <c r="B13" s="8" t="s">
        <v>631</v>
      </c>
      <c r="C13" s="41"/>
      <c r="D13" s="41"/>
    </row>
    <row r="14" spans="1:4" ht="19.5" customHeight="1">
      <c r="A14" s="8"/>
      <c r="B14" s="8" t="s">
        <v>632</v>
      </c>
      <c r="C14" s="41"/>
      <c r="D14" s="41"/>
    </row>
    <row r="15" spans="1:4" ht="19.5" customHeight="1">
      <c r="A15" s="8"/>
      <c r="B15" s="8" t="s">
        <v>633</v>
      </c>
      <c r="C15" s="41"/>
      <c r="D15" s="41"/>
    </row>
    <row r="16" spans="1:4" ht="19.5" customHeight="1">
      <c r="A16" s="8"/>
      <c r="B16" s="8" t="s">
        <v>313</v>
      </c>
      <c r="C16" s="41"/>
      <c r="D16" s="41"/>
    </row>
    <row r="17" spans="1:8" ht="19.5" customHeight="1">
      <c r="A17" s="8"/>
      <c r="B17" s="8" t="s">
        <v>314</v>
      </c>
      <c r="C17" s="41"/>
      <c r="D17" s="41"/>
    </row>
    <row r="18" spans="1:8" ht="19.5" customHeight="1">
      <c r="A18" s="8"/>
      <c r="B18" s="8" t="s">
        <v>315</v>
      </c>
      <c r="C18" s="41"/>
      <c r="D18" s="41"/>
    </row>
    <row r="19" spans="1:8" ht="19.5" customHeight="1">
      <c r="A19" s="8">
        <v>2</v>
      </c>
      <c r="B19" s="8" t="s">
        <v>316</v>
      </c>
      <c r="C19" s="41"/>
      <c r="D19" s="41"/>
    </row>
    <row r="20" spans="1:8" ht="19.5" customHeight="1">
      <c r="A20" s="8"/>
      <c r="B20" s="8" t="s">
        <v>317</v>
      </c>
      <c r="C20" s="41" t="e">
        <f>'73-ХЛ'!F370-'73-ХЛ'!G370</f>
        <v>#REF!</v>
      </c>
      <c r="D20" s="41"/>
    </row>
    <row r="21" spans="1:8" ht="19.5" customHeight="1">
      <c r="A21" s="8"/>
      <c r="B21" s="8" t="s">
        <v>318</v>
      </c>
      <c r="C21" s="41" t="e">
        <f>'73-ХЛ'!F373-'73-ХЛ'!G373</f>
        <v>#REF!</v>
      </c>
      <c r="D21" s="41"/>
    </row>
    <row r="22" spans="1:8" ht="19.5" customHeight="1">
      <c r="A22" s="8"/>
      <c r="B22" s="8" t="s">
        <v>319</v>
      </c>
      <c r="C22" s="41" t="e">
        <f>'73-ХЛ'!F375-'73-ХЛ'!G375</f>
        <v>#REF!</v>
      </c>
      <c r="D22" s="41"/>
    </row>
    <row r="23" spans="1:8" ht="19.5" customHeight="1">
      <c r="A23" s="8"/>
      <c r="B23" s="8" t="s">
        <v>320</v>
      </c>
      <c r="C23" s="41" t="e">
        <f>'73-ХЛ'!F377-'73-ХЛ'!G377</f>
        <v>#REF!</v>
      </c>
      <c r="D23" s="41"/>
    </row>
    <row r="24" spans="1:8" s="9" customFormat="1" ht="19.5" customHeight="1">
      <c r="A24" s="31"/>
      <c r="B24" s="31" t="s">
        <v>321</v>
      </c>
      <c r="C24" s="40" t="e">
        <f>SUM(C20:C23)</f>
        <v>#REF!</v>
      </c>
      <c r="D24" s="40">
        <f>SUM(D20:D23)</f>
        <v>0</v>
      </c>
    </row>
    <row r="25" spans="1:8" s="9" customFormat="1" ht="19.5" customHeight="1">
      <c r="A25" s="31"/>
      <c r="B25" s="31" t="s">
        <v>593</v>
      </c>
      <c r="C25" s="40" t="e">
        <f>C9+C24</f>
        <v>#REF!</v>
      </c>
      <c r="D25" s="40">
        <f>D9+D24</f>
        <v>0</v>
      </c>
    </row>
    <row r="26" spans="1:8" s="9" customFormat="1" ht="19.5" customHeight="1">
      <c r="A26" s="31"/>
      <c r="B26" s="31" t="s">
        <v>322</v>
      </c>
      <c r="C26" s="40" t="e">
        <f>C25-D25</f>
        <v>#REF!</v>
      </c>
      <c r="D26" s="40"/>
    </row>
    <row r="27" spans="1:8" ht="27.75" customHeight="1"/>
    <row r="28" spans="1:8" s="110" customFormat="1" ht="13.8">
      <c r="A28" s="76" t="s">
        <v>212</v>
      </c>
      <c r="B28" s="107"/>
      <c r="C28" s="108"/>
      <c r="D28" s="107"/>
      <c r="E28" s="109"/>
      <c r="F28" s="109"/>
      <c r="G28" s="109"/>
      <c r="H28" s="109"/>
    </row>
    <row r="29" spans="1:8" s="110" customFormat="1" ht="13.8">
      <c r="A29" s="76"/>
      <c r="B29" s="107"/>
      <c r="C29" s="108"/>
      <c r="D29" s="107"/>
      <c r="E29" s="107"/>
      <c r="F29" s="107"/>
      <c r="G29" s="107"/>
      <c r="H29" s="107"/>
    </row>
    <row r="30" spans="1:8" s="110" customFormat="1" ht="13.8">
      <c r="A30" s="76" t="s">
        <v>352</v>
      </c>
      <c r="B30" s="107"/>
      <c r="C30" s="107"/>
      <c r="D30" s="107"/>
      <c r="E30" s="107"/>
      <c r="F30" s="107"/>
      <c r="G30" s="107"/>
      <c r="H30" s="107"/>
    </row>
    <row r="31" spans="1:8" s="102" customFormat="1">
      <c r="B31" s="101"/>
      <c r="C31" s="101"/>
      <c r="D31" s="101"/>
      <c r="E31" s="101"/>
      <c r="F31" s="101"/>
      <c r="G31" s="101"/>
      <c r="H31" s="101"/>
    </row>
    <row r="32" spans="1:8" s="102" customFormat="1">
      <c r="B32" s="101"/>
      <c r="C32" s="101"/>
      <c r="D32" s="101"/>
      <c r="E32" s="101"/>
      <c r="F32" s="101"/>
      <c r="G32" s="101"/>
      <c r="H32" s="101"/>
    </row>
    <row r="33" spans="2:8" s="102" customFormat="1">
      <c r="B33" s="101"/>
      <c r="C33" s="101"/>
      <c r="D33" s="101"/>
      <c r="E33" s="101"/>
      <c r="F33" s="101"/>
      <c r="G33" s="101"/>
      <c r="H33" s="101"/>
    </row>
    <row r="34" spans="2:8" s="102" customFormat="1">
      <c r="B34" s="101"/>
      <c r="C34" s="101"/>
      <c r="D34" s="101"/>
      <c r="E34" s="101"/>
      <c r="F34" s="101"/>
      <c r="G34" s="101"/>
      <c r="H34" s="101"/>
    </row>
  </sheetData>
  <mergeCells count="3">
    <mergeCell ref="A2:D2"/>
    <mergeCell ref="A3:D3"/>
    <mergeCell ref="A4:D4"/>
  </mergeCells>
  <phoneticPr fontId="5" type="noConversion"/>
  <pageMargins left="1.88" right="0.16" top="0.74803149606299213" bottom="0.19685039370078741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25"/>
  <dimension ref="A2:BD20"/>
  <sheetViews>
    <sheetView zoomScale="110" zoomScaleNormal="110" workbookViewId="0"/>
  </sheetViews>
  <sheetFormatPr defaultColWidth="9.109375" defaultRowHeight="13.2"/>
  <cols>
    <col min="1" max="1" width="11.109375" customWidth="1"/>
    <col min="2" max="2" width="10" customWidth="1"/>
    <col min="3" max="3" width="8.33203125" customWidth="1"/>
    <col min="4" max="5" width="7.44140625" customWidth="1"/>
    <col min="6" max="6" width="7" customWidth="1"/>
    <col min="7" max="7" width="6.88671875" customWidth="1"/>
    <col min="8" max="8" width="7.33203125" customWidth="1"/>
    <col min="9" max="9" width="7.88671875" customWidth="1"/>
    <col min="10" max="11" width="10.109375" customWidth="1"/>
    <col min="12" max="12" width="11.6640625" customWidth="1"/>
    <col min="13" max="13" width="6.6640625" bestFit="1" customWidth="1"/>
    <col min="15" max="15" width="9.44140625" customWidth="1"/>
    <col min="16" max="16" width="10.109375" customWidth="1"/>
    <col min="17" max="17" width="8.44140625" style="187" customWidth="1"/>
    <col min="18" max="18" width="7.88671875" style="187" customWidth="1"/>
    <col min="19" max="19" width="12.33203125" customWidth="1"/>
    <col min="20" max="20" width="8" bestFit="1" customWidth="1"/>
    <col min="21" max="21" width="10.33203125" bestFit="1" customWidth="1"/>
    <col min="22" max="22" width="11" customWidth="1"/>
    <col min="23" max="23" width="8" bestFit="1" customWidth="1"/>
    <col min="24" max="24" width="11.44140625" customWidth="1"/>
    <col min="25" max="25" width="8" customWidth="1"/>
    <col min="26" max="26" width="6.6640625" bestFit="1" customWidth="1"/>
    <col min="27" max="27" width="8.109375" bestFit="1" customWidth="1"/>
    <col min="28" max="28" width="6.44140625" customWidth="1"/>
    <col min="29" max="29" width="7.33203125" bestFit="1" customWidth="1"/>
    <col min="30" max="30" width="6.44140625" customWidth="1"/>
    <col min="31" max="31" width="7.33203125" bestFit="1" customWidth="1"/>
    <col min="32" max="32" width="7.6640625" customWidth="1"/>
    <col min="33" max="33" width="9.109375" style="103"/>
    <col min="34" max="34" width="5.109375" bestFit="1" customWidth="1"/>
    <col min="35" max="35" width="9.109375" style="103"/>
    <col min="36" max="36" width="7.109375" bestFit="1" customWidth="1"/>
    <col min="37" max="37" width="7.33203125" bestFit="1" customWidth="1"/>
    <col min="38" max="41" width="8.5546875" hidden="1" customWidth="1"/>
    <col min="42" max="42" width="12.109375" customWidth="1"/>
    <col min="44" max="44" width="9.5546875" customWidth="1"/>
    <col min="45" max="45" width="10.33203125" bestFit="1" customWidth="1"/>
    <col min="46" max="46" width="9.88671875" hidden="1" customWidth="1"/>
    <col min="47" max="47" width="9.33203125" hidden="1" customWidth="1"/>
    <col min="49" max="49" width="11.88671875" style="42" customWidth="1"/>
    <col min="50" max="50" width="9.88671875" style="42" bestFit="1" customWidth="1"/>
    <col min="51" max="51" width="10.44140625" style="42" bestFit="1" customWidth="1"/>
    <col min="52" max="52" width="10.33203125" style="42" bestFit="1" customWidth="1"/>
    <col min="53" max="53" width="9.33203125" style="42" bestFit="1" customWidth="1"/>
    <col min="54" max="54" width="9.44140625" style="42" customWidth="1"/>
    <col min="55" max="56" width="9.33203125" style="42" bestFit="1" customWidth="1"/>
  </cols>
  <sheetData>
    <row r="2" spans="1:56" s="76" customFormat="1" ht="13.8">
      <c r="A2" s="314" t="s">
        <v>595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Q2" s="135"/>
      <c r="R2" s="135"/>
      <c r="AG2" s="260"/>
      <c r="AI2" s="260"/>
      <c r="AW2" s="136"/>
      <c r="AX2" s="136"/>
      <c r="AY2" s="136"/>
      <c r="AZ2" s="136"/>
      <c r="BA2" s="136"/>
      <c r="BB2" s="136"/>
      <c r="BC2" s="136"/>
      <c r="BD2" s="136"/>
    </row>
    <row r="3" spans="1:56" s="76" customFormat="1" ht="13.8">
      <c r="A3" s="314" t="s">
        <v>168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Q3" s="135"/>
      <c r="R3" s="135"/>
      <c r="AG3" s="260"/>
      <c r="AI3" s="260"/>
      <c r="AW3" s="136"/>
      <c r="AX3" s="136"/>
      <c r="AY3" s="136"/>
      <c r="AZ3" s="136"/>
      <c r="BA3" s="136"/>
      <c r="BB3" s="136"/>
      <c r="BC3" s="136"/>
      <c r="BD3" s="136"/>
    </row>
    <row r="4" spans="1:56">
      <c r="AQ4" t="s">
        <v>596</v>
      </c>
    </row>
    <row r="5" spans="1:56" ht="15" customHeight="1">
      <c r="A5" s="137" t="s">
        <v>421</v>
      </c>
      <c r="B5" s="137" t="s">
        <v>597</v>
      </c>
      <c r="C5" s="137" t="s">
        <v>598</v>
      </c>
      <c r="D5" s="333" t="s">
        <v>599</v>
      </c>
      <c r="E5" s="334"/>
      <c r="F5" s="350" t="s">
        <v>600</v>
      </c>
      <c r="G5" s="352"/>
      <c r="H5" s="352"/>
      <c r="I5" s="351"/>
      <c r="J5" s="264" t="s">
        <v>601</v>
      </c>
      <c r="K5" s="137" t="s">
        <v>602</v>
      </c>
      <c r="L5" s="264" t="s">
        <v>603</v>
      </c>
      <c r="M5" s="137" t="s">
        <v>604</v>
      </c>
      <c r="N5" s="264" t="s">
        <v>605</v>
      </c>
      <c r="O5" s="137" t="s">
        <v>606</v>
      </c>
      <c r="P5" s="137" t="s">
        <v>607</v>
      </c>
      <c r="Q5" s="138" t="s">
        <v>608</v>
      </c>
      <c r="R5" s="138" t="s">
        <v>609</v>
      </c>
      <c r="S5" s="263" t="s">
        <v>421</v>
      </c>
      <c r="T5" s="333" t="s">
        <v>610</v>
      </c>
      <c r="U5" s="330"/>
      <c r="V5" s="137" t="s">
        <v>611</v>
      </c>
      <c r="W5" s="264" t="s">
        <v>612</v>
      </c>
      <c r="X5" s="263" t="s">
        <v>613</v>
      </c>
      <c r="Y5" s="333" t="s">
        <v>263</v>
      </c>
      <c r="Z5" s="330"/>
      <c r="AA5" s="334"/>
      <c r="AB5" s="333" t="s">
        <v>264</v>
      </c>
      <c r="AC5" s="334"/>
      <c r="AD5" s="333" t="s">
        <v>265</v>
      </c>
      <c r="AE5" s="334"/>
      <c r="AF5" s="333" t="s">
        <v>266</v>
      </c>
      <c r="AG5" s="334"/>
      <c r="AH5" s="330" t="s">
        <v>266</v>
      </c>
      <c r="AI5" s="330"/>
      <c r="AJ5" s="333" t="s">
        <v>267</v>
      </c>
      <c r="AK5" s="334"/>
      <c r="AL5" s="265"/>
      <c r="AM5" s="265"/>
      <c r="AN5" s="265"/>
      <c r="AO5" s="264"/>
      <c r="AP5" s="265" t="s">
        <v>421</v>
      </c>
      <c r="AQ5" s="333" t="s">
        <v>268</v>
      </c>
      <c r="AR5" s="334"/>
      <c r="AS5" s="335" t="s">
        <v>269</v>
      </c>
      <c r="AT5" s="336"/>
      <c r="AU5" s="337"/>
      <c r="AV5" s="137" t="s">
        <v>270</v>
      </c>
      <c r="AW5" s="139" t="s">
        <v>271</v>
      </c>
      <c r="AX5" s="140" t="s">
        <v>272</v>
      </c>
      <c r="AY5" s="139" t="s">
        <v>273</v>
      </c>
      <c r="AZ5" s="140" t="s">
        <v>601</v>
      </c>
      <c r="BA5" s="139" t="s">
        <v>601</v>
      </c>
      <c r="BB5" s="140" t="s">
        <v>274</v>
      </c>
      <c r="BC5" s="139" t="s">
        <v>275</v>
      </c>
      <c r="BD5" s="140" t="s">
        <v>276</v>
      </c>
    </row>
    <row r="6" spans="1:56" ht="15" customHeight="1">
      <c r="A6" s="141" t="s">
        <v>277</v>
      </c>
      <c r="B6" s="141" t="s">
        <v>278</v>
      </c>
      <c r="C6" s="141" t="s">
        <v>279</v>
      </c>
      <c r="D6" s="266"/>
      <c r="E6" s="267"/>
      <c r="F6" s="350" t="s">
        <v>280</v>
      </c>
      <c r="G6" s="352"/>
      <c r="H6" s="350" t="s">
        <v>281</v>
      </c>
      <c r="I6" s="351"/>
      <c r="J6" s="262" t="s">
        <v>282</v>
      </c>
      <c r="K6" s="141" t="s">
        <v>283</v>
      </c>
      <c r="L6" s="262" t="s">
        <v>284</v>
      </c>
      <c r="M6" s="141" t="s">
        <v>285</v>
      </c>
      <c r="N6" s="262" t="s">
        <v>286</v>
      </c>
      <c r="O6" s="141" t="s">
        <v>287</v>
      </c>
      <c r="P6" s="141" t="s">
        <v>288</v>
      </c>
      <c r="Q6" s="142" t="s">
        <v>289</v>
      </c>
      <c r="R6" s="142" t="s">
        <v>290</v>
      </c>
      <c r="S6" s="261" t="s">
        <v>277</v>
      </c>
      <c r="T6" s="344" t="s">
        <v>291</v>
      </c>
      <c r="U6" s="349"/>
      <c r="V6" s="141" t="s">
        <v>292</v>
      </c>
      <c r="W6" s="262" t="s">
        <v>293</v>
      </c>
      <c r="X6" s="261" t="s">
        <v>294</v>
      </c>
      <c r="Y6" s="344" t="s">
        <v>295</v>
      </c>
      <c r="Z6" s="349"/>
      <c r="AA6" s="345"/>
      <c r="AB6" s="344" t="s">
        <v>296</v>
      </c>
      <c r="AC6" s="345"/>
      <c r="AD6" s="344" t="s">
        <v>297</v>
      </c>
      <c r="AE6" s="345"/>
      <c r="AF6" s="347" t="s">
        <v>298</v>
      </c>
      <c r="AG6" s="348"/>
      <c r="AH6" s="331" t="s">
        <v>299</v>
      </c>
      <c r="AI6" s="332"/>
      <c r="AJ6" s="346" t="s">
        <v>446</v>
      </c>
      <c r="AK6" s="332"/>
      <c r="AL6" s="268"/>
      <c r="AM6" s="268"/>
      <c r="AN6" s="268"/>
      <c r="AO6" s="262"/>
      <c r="AP6" s="268" t="s">
        <v>277</v>
      </c>
      <c r="AQ6" s="344" t="s">
        <v>447</v>
      </c>
      <c r="AR6" s="345"/>
      <c r="AS6" s="338"/>
      <c r="AT6" s="339"/>
      <c r="AU6" s="340"/>
      <c r="AV6" s="141" t="s">
        <v>448</v>
      </c>
      <c r="AW6" s="143" t="s">
        <v>449</v>
      </c>
      <c r="AX6" s="144" t="s">
        <v>450</v>
      </c>
      <c r="AY6" s="143" t="s">
        <v>451</v>
      </c>
      <c r="AZ6" s="144" t="s">
        <v>452</v>
      </c>
      <c r="BA6" s="143" t="s">
        <v>453</v>
      </c>
      <c r="BB6" s="144"/>
      <c r="BC6" s="143" t="s">
        <v>454</v>
      </c>
      <c r="BD6" s="144" t="s">
        <v>455</v>
      </c>
    </row>
    <row r="7" spans="1:56" ht="15" customHeight="1">
      <c r="A7" s="141" t="s">
        <v>456</v>
      </c>
      <c r="B7" s="141" t="s">
        <v>457</v>
      </c>
      <c r="C7" s="141" t="s">
        <v>458</v>
      </c>
      <c r="D7" s="262" t="s">
        <v>459</v>
      </c>
      <c r="E7" s="137" t="s">
        <v>327</v>
      </c>
      <c r="F7" s="262"/>
      <c r="G7" s="137"/>
      <c r="H7" s="263"/>
      <c r="I7" s="137"/>
      <c r="J7" s="262" t="s">
        <v>460</v>
      </c>
      <c r="K7" s="141" t="s">
        <v>288</v>
      </c>
      <c r="L7" s="262" t="s">
        <v>461</v>
      </c>
      <c r="M7" s="141" t="s">
        <v>462</v>
      </c>
      <c r="N7" s="262"/>
      <c r="O7" s="141" t="s">
        <v>463</v>
      </c>
      <c r="P7" s="141" t="s">
        <v>464</v>
      </c>
      <c r="Q7" s="142" t="s">
        <v>465</v>
      </c>
      <c r="R7" s="142" t="s">
        <v>466</v>
      </c>
      <c r="S7" s="261" t="s">
        <v>456</v>
      </c>
      <c r="T7" s="263"/>
      <c r="U7" s="263" t="s">
        <v>467</v>
      </c>
      <c r="V7" s="141" t="s">
        <v>468</v>
      </c>
      <c r="W7" s="262" t="s">
        <v>469</v>
      </c>
      <c r="X7" s="261" t="s">
        <v>470</v>
      </c>
      <c r="Y7" s="263" t="s">
        <v>471</v>
      </c>
      <c r="Z7" s="137" t="s">
        <v>472</v>
      </c>
      <c r="AA7" s="265" t="s">
        <v>473</v>
      </c>
      <c r="AB7" s="263" t="s">
        <v>593</v>
      </c>
      <c r="AC7" s="137" t="s">
        <v>474</v>
      </c>
      <c r="AD7" s="263" t="s">
        <v>593</v>
      </c>
      <c r="AE7" s="137" t="s">
        <v>474</v>
      </c>
      <c r="AF7" s="264" t="s">
        <v>593</v>
      </c>
      <c r="AG7" s="137" t="s">
        <v>474</v>
      </c>
      <c r="AH7" s="264" t="s">
        <v>593</v>
      </c>
      <c r="AI7" s="263" t="s">
        <v>474</v>
      </c>
      <c r="AJ7" s="261" t="s">
        <v>593</v>
      </c>
      <c r="AK7" s="141" t="s">
        <v>474</v>
      </c>
      <c r="AL7" s="141"/>
      <c r="AM7" s="141"/>
      <c r="AN7" s="141"/>
      <c r="AO7" s="261"/>
      <c r="AP7" s="268" t="s">
        <v>456</v>
      </c>
      <c r="AQ7" s="263" t="s">
        <v>593</v>
      </c>
      <c r="AR7" s="137" t="s">
        <v>474</v>
      </c>
      <c r="AS7" s="338"/>
      <c r="AT7" s="339"/>
      <c r="AU7" s="340"/>
      <c r="AV7" s="141"/>
      <c r="AW7" s="143" t="s">
        <v>475</v>
      </c>
      <c r="AX7" s="144" t="s">
        <v>476</v>
      </c>
      <c r="AY7" s="143"/>
      <c r="AZ7" s="144" t="s">
        <v>477</v>
      </c>
      <c r="BA7" s="143" t="s">
        <v>478</v>
      </c>
      <c r="BB7" s="144"/>
      <c r="BC7" s="143" t="s">
        <v>479</v>
      </c>
      <c r="BD7" s="144" t="s">
        <v>480</v>
      </c>
    </row>
    <row r="8" spans="1:56" ht="15" customHeight="1">
      <c r="A8" s="145"/>
      <c r="B8" s="145" t="s">
        <v>481</v>
      </c>
      <c r="C8" s="145" t="s">
        <v>481</v>
      </c>
      <c r="D8" s="146" t="s">
        <v>482</v>
      </c>
      <c r="E8" s="145"/>
      <c r="F8" s="146" t="s">
        <v>678</v>
      </c>
      <c r="G8" s="145" t="s">
        <v>483</v>
      </c>
      <c r="H8" s="266" t="s">
        <v>678</v>
      </c>
      <c r="I8" s="145" t="s">
        <v>483</v>
      </c>
      <c r="J8" s="146" t="s">
        <v>484</v>
      </c>
      <c r="K8" s="145" t="s">
        <v>485</v>
      </c>
      <c r="L8" s="146" t="s">
        <v>486</v>
      </c>
      <c r="M8" s="145" t="s">
        <v>487</v>
      </c>
      <c r="N8" s="146"/>
      <c r="O8" s="145" t="s">
        <v>488</v>
      </c>
      <c r="P8" s="145" t="s">
        <v>478</v>
      </c>
      <c r="Q8" s="147" t="s">
        <v>400</v>
      </c>
      <c r="R8" s="147" t="s">
        <v>286</v>
      </c>
      <c r="S8" s="266"/>
      <c r="T8" s="266" t="s">
        <v>593</v>
      </c>
      <c r="U8" s="266" t="s">
        <v>489</v>
      </c>
      <c r="V8" s="145" t="s">
        <v>400</v>
      </c>
      <c r="W8" s="215"/>
      <c r="X8" s="266" t="s">
        <v>490</v>
      </c>
      <c r="Y8" s="266" t="s">
        <v>491</v>
      </c>
      <c r="Z8" s="145" t="s">
        <v>469</v>
      </c>
      <c r="AA8" s="267" t="s">
        <v>492</v>
      </c>
      <c r="AB8" s="216"/>
      <c r="AC8" s="145" t="s">
        <v>493</v>
      </c>
      <c r="AD8" s="216"/>
      <c r="AE8" s="145" t="s">
        <v>493</v>
      </c>
      <c r="AF8" s="215"/>
      <c r="AG8" s="145" t="s">
        <v>493</v>
      </c>
      <c r="AH8" s="215"/>
      <c r="AI8" s="266" t="s">
        <v>493</v>
      </c>
      <c r="AJ8" s="216"/>
      <c r="AK8" s="145" t="s">
        <v>493</v>
      </c>
      <c r="AL8" s="145"/>
      <c r="AM8" s="145"/>
      <c r="AN8" s="145"/>
      <c r="AO8" s="266"/>
      <c r="AP8" s="267"/>
      <c r="AQ8" s="266" t="s">
        <v>494</v>
      </c>
      <c r="AR8" s="145" t="s">
        <v>493</v>
      </c>
      <c r="AS8" s="341"/>
      <c r="AT8" s="342"/>
      <c r="AU8" s="343"/>
      <c r="AV8" s="145"/>
      <c r="AW8" s="148" t="s">
        <v>495</v>
      </c>
      <c r="AX8" s="149"/>
      <c r="AY8" s="148"/>
      <c r="AZ8" s="149" t="s">
        <v>496</v>
      </c>
      <c r="BA8" s="148" t="s">
        <v>497</v>
      </c>
      <c r="BB8" s="149"/>
      <c r="BC8" s="148" t="s">
        <v>476</v>
      </c>
      <c r="BD8" s="149" t="s">
        <v>498</v>
      </c>
    </row>
    <row r="9" spans="1:56">
      <c r="A9" s="145">
        <v>1</v>
      </c>
      <c r="B9" s="145">
        <f t="shared" ref="B9:AG9" si="0">A9+1</f>
        <v>2</v>
      </c>
      <c r="C9" s="145">
        <f t="shared" si="0"/>
        <v>3</v>
      </c>
      <c r="D9" s="145">
        <f t="shared" si="0"/>
        <v>4</v>
      </c>
      <c r="E9" s="145">
        <f t="shared" si="0"/>
        <v>5</v>
      </c>
      <c r="F9" s="145">
        <f t="shared" si="0"/>
        <v>6</v>
      </c>
      <c r="G9" s="145">
        <f t="shared" si="0"/>
        <v>7</v>
      </c>
      <c r="H9" s="145">
        <f t="shared" si="0"/>
        <v>8</v>
      </c>
      <c r="I9" s="145">
        <f t="shared" si="0"/>
        <v>9</v>
      </c>
      <c r="J9" s="145">
        <f t="shared" si="0"/>
        <v>10</v>
      </c>
      <c r="K9" s="145">
        <f t="shared" si="0"/>
        <v>11</v>
      </c>
      <c r="L9" s="145">
        <f t="shared" si="0"/>
        <v>12</v>
      </c>
      <c r="M9" s="145">
        <f t="shared" si="0"/>
        <v>13</v>
      </c>
      <c r="N9" s="145">
        <f t="shared" si="0"/>
        <v>14</v>
      </c>
      <c r="O9" s="145">
        <f t="shared" si="0"/>
        <v>15</v>
      </c>
      <c r="P9" s="145">
        <f t="shared" si="0"/>
        <v>16</v>
      </c>
      <c r="Q9" s="145">
        <f t="shared" si="0"/>
        <v>17</v>
      </c>
      <c r="R9" s="145">
        <f t="shared" si="0"/>
        <v>18</v>
      </c>
      <c r="S9" s="145">
        <f t="shared" si="0"/>
        <v>19</v>
      </c>
      <c r="T9" s="145">
        <f t="shared" si="0"/>
        <v>20</v>
      </c>
      <c r="U9" s="145">
        <f t="shared" si="0"/>
        <v>21</v>
      </c>
      <c r="V9" s="145">
        <f t="shared" si="0"/>
        <v>22</v>
      </c>
      <c r="W9" s="145">
        <f t="shared" si="0"/>
        <v>23</v>
      </c>
      <c r="X9" s="145">
        <f t="shared" si="0"/>
        <v>24</v>
      </c>
      <c r="Y9" s="145">
        <f t="shared" si="0"/>
        <v>25</v>
      </c>
      <c r="Z9" s="145">
        <f t="shared" si="0"/>
        <v>26</v>
      </c>
      <c r="AA9" s="145">
        <f t="shared" si="0"/>
        <v>27</v>
      </c>
      <c r="AB9" s="145">
        <f t="shared" si="0"/>
        <v>28</v>
      </c>
      <c r="AC9" s="145">
        <f t="shared" si="0"/>
        <v>29</v>
      </c>
      <c r="AD9" s="145">
        <f t="shared" si="0"/>
        <v>30</v>
      </c>
      <c r="AE9" s="145">
        <f t="shared" si="0"/>
        <v>31</v>
      </c>
      <c r="AF9" s="145">
        <f t="shared" si="0"/>
        <v>32</v>
      </c>
      <c r="AG9" s="145">
        <f t="shared" si="0"/>
        <v>33</v>
      </c>
      <c r="AH9" s="145">
        <f t="shared" ref="AH9:BD9" si="1">AG9+1</f>
        <v>34</v>
      </c>
      <c r="AI9" s="145">
        <f t="shared" si="1"/>
        <v>35</v>
      </c>
      <c r="AJ9" s="145">
        <f t="shared" si="1"/>
        <v>36</v>
      </c>
      <c r="AK9" s="145">
        <f t="shared" si="1"/>
        <v>37</v>
      </c>
      <c r="AL9" s="145">
        <f t="shared" si="1"/>
        <v>38</v>
      </c>
      <c r="AM9" s="145">
        <f t="shared" si="1"/>
        <v>39</v>
      </c>
      <c r="AN9" s="145">
        <f t="shared" si="1"/>
        <v>40</v>
      </c>
      <c r="AO9" s="145">
        <f t="shared" si="1"/>
        <v>41</v>
      </c>
      <c r="AP9" s="145">
        <f t="shared" si="1"/>
        <v>42</v>
      </c>
      <c r="AQ9" s="145">
        <f t="shared" si="1"/>
        <v>43</v>
      </c>
      <c r="AR9" s="145">
        <f t="shared" si="1"/>
        <v>44</v>
      </c>
      <c r="AS9" s="145">
        <f t="shared" si="1"/>
        <v>45</v>
      </c>
      <c r="AT9" s="145">
        <f t="shared" si="1"/>
        <v>46</v>
      </c>
      <c r="AU9" s="145">
        <f t="shared" si="1"/>
        <v>47</v>
      </c>
      <c r="AV9" s="145">
        <f t="shared" si="1"/>
        <v>48</v>
      </c>
      <c r="AW9" s="145">
        <f t="shared" si="1"/>
        <v>49</v>
      </c>
      <c r="AX9" s="145">
        <f t="shared" si="1"/>
        <v>50</v>
      </c>
      <c r="AY9" s="145">
        <f t="shared" si="1"/>
        <v>51</v>
      </c>
      <c r="AZ9" s="145">
        <f t="shared" si="1"/>
        <v>52</v>
      </c>
      <c r="BA9" s="145">
        <f t="shared" si="1"/>
        <v>53</v>
      </c>
      <c r="BB9" s="145">
        <f t="shared" si="1"/>
        <v>54</v>
      </c>
      <c r="BC9" s="145">
        <f t="shared" si="1"/>
        <v>55</v>
      </c>
      <c r="BD9" s="145">
        <f t="shared" si="1"/>
        <v>56</v>
      </c>
    </row>
    <row r="10" spans="1:56" ht="18.75" customHeight="1">
      <c r="A10" s="38" t="s">
        <v>587</v>
      </c>
      <c r="B10" s="150" t="e">
        <f>#REF!</f>
        <v>#REF!</v>
      </c>
      <c r="C10" s="150" t="e">
        <f>#REF!</f>
        <v>#REF!</v>
      </c>
      <c r="D10" s="269">
        <f>'Баланс продукции'!G14</f>
        <v>2153.5447219999996</v>
      </c>
      <c r="E10" s="269">
        <f>'Баланс продукции'!I14</f>
        <v>2125.6999999999998</v>
      </c>
      <c r="F10" s="152">
        <f>'Баланс продукции'!AA14</f>
        <v>329.6010000000004</v>
      </c>
      <c r="G10" s="151">
        <f>'Баланс продукции'!AB14</f>
        <v>5.2567657527853981</v>
      </c>
      <c r="H10" s="152">
        <f>'Баланс продукции'!AC14</f>
        <v>321.93399999999997</v>
      </c>
      <c r="I10" s="151">
        <f>'Баланс продукции'!AD14</f>
        <v>5.1344857141125546</v>
      </c>
      <c r="J10" s="150" t="e">
        <f>'Вспом-1'!E29</f>
        <v>#REF!</v>
      </c>
      <c r="K10" s="150" t="e">
        <f>'Товар продукц'!C13</f>
        <v>#REF!</v>
      </c>
      <c r="L10" s="153" t="e">
        <f>K10*100/J10</f>
        <v>#REF!</v>
      </c>
      <c r="M10" s="154" t="e">
        <f>100-L10</f>
        <v>#REF!</v>
      </c>
      <c r="N10" s="150" t="e">
        <f>'Вспом-2'!N10</f>
        <v>#REF!</v>
      </c>
      <c r="O10" s="150" t="e">
        <f>'Вспом-2'!P10</f>
        <v>#REF!</v>
      </c>
      <c r="P10" s="150" t="e">
        <f>K10+N10+O10</f>
        <v>#REF!</v>
      </c>
      <c r="Q10" s="155" t="e">
        <f>P10*100/J10</f>
        <v>#REF!</v>
      </c>
      <c r="R10" s="156" t="e">
        <f>100-Q10</f>
        <v>#REF!</v>
      </c>
      <c r="S10" s="38" t="str">
        <f>+A10</f>
        <v>Митан</v>
      </c>
      <c r="T10" s="53" t="e">
        <f>#REF!</f>
        <v>#REF!</v>
      </c>
      <c r="U10" s="53" t="e">
        <f>#REF!</f>
        <v>#REF!</v>
      </c>
      <c r="V10" s="53" t="e">
        <f>'Мол нат'!#REF!</f>
        <v>#REF!</v>
      </c>
      <c r="W10" s="53" t="e">
        <f>'Мол нат'!#REF!</f>
        <v>#REF!</v>
      </c>
      <c r="X10" s="53" t="e">
        <f>'Мол нат'!#REF!</f>
        <v>#REF!</v>
      </c>
      <c r="Y10" s="157" t="e">
        <f>W10*100/V10</f>
        <v>#REF!</v>
      </c>
      <c r="Z10" s="157" t="e">
        <f>X10*100/V10</f>
        <v>#REF!</v>
      </c>
      <c r="AA10" s="157" t="e">
        <f>X10*100/P10</f>
        <v>#REF!</v>
      </c>
      <c r="AB10" s="179">
        <v>21.7</v>
      </c>
      <c r="AC10" s="158" t="e">
        <f>AB10*1000/B10</f>
        <v>#REF!</v>
      </c>
      <c r="AD10" s="158">
        <v>0</v>
      </c>
      <c r="AE10" s="158" t="e">
        <f>AD10*1000/B10</f>
        <v>#REF!</v>
      </c>
      <c r="AF10" s="158">
        <v>0</v>
      </c>
      <c r="AG10" s="159" t="e">
        <f>AF10*1000/B10</f>
        <v>#REF!</v>
      </c>
      <c r="AH10" s="179">
        <v>11</v>
      </c>
      <c r="AI10" s="160" t="e">
        <f>AH10*1000/B10</f>
        <v>#REF!</v>
      </c>
      <c r="AJ10" s="177">
        <v>750</v>
      </c>
      <c r="AK10" s="158" t="e">
        <f>+AJ10*1000/B10</f>
        <v>#REF!</v>
      </c>
      <c r="AL10" s="158"/>
      <c r="AM10" s="158"/>
      <c r="AN10" s="158"/>
      <c r="AO10" s="161"/>
      <c r="AP10" s="162" t="str">
        <f>+A10</f>
        <v>Митан</v>
      </c>
      <c r="AQ10" s="178">
        <v>27559</v>
      </c>
      <c r="AR10" s="160" t="e">
        <f>AQ10*1000/B10</f>
        <v>#REF!</v>
      </c>
      <c r="AS10" s="53" t="e">
        <f>'Бух баланс'!#REF!</f>
        <v>#REF!</v>
      </c>
      <c r="AT10" s="53" t="e">
        <f>AS10-AU10</f>
        <v>#REF!</v>
      </c>
      <c r="AU10" s="53">
        <f>+'[7]Асос восит'!DH105</f>
        <v>0</v>
      </c>
      <c r="AV10" s="159" t="e">
        <f>W10*100/AS10</f>
        <v>#REF!</v>
      </c>
      <c r="AW10" s="53" t="e">
        <f>'Бух баланс'!#REF!+'Бух баланс'!#REF!-'Бух баланс'!#REF!</f>
        <v>#REF!</v>
      </c>
      <c r="AX10" s="53" t="e">
        <f>K10/360*180</f>
        <v>#REF!</v>
      </c>
      <c r="AY10" s="53" t="e">
        <f>AW10-AX10</f>
        <v>#REF!</v>
      </c>
      <c r="AZ10" s="53" t="e">
        <f>#REF!</f>
        <v>#REF!</v>
      </c>
      <c r="BA10" s="53" t="e">
        <f>'Бух баланс'!#REF!</f>
        <v>#REF!</v>
      </c>
      <c r="BB10" s="53" t="e">
        <f>'Бух баланс'!#REF!</f>
        <v>#REF!</v>
      </c>
      <c r="BC10" s="53" t="e">
        <f>'Бух баланс'!#REF!+'Бух баланс'!#REF!+'Бух баланс'!#REF!+'Бух баланс'!#REF!+'Бух баланс'!#REF!</f>
        <v>#REF!</v>
      </c>
      <c r="BD10" s="53" t="e">
        <f>'Бух баланс'!#REF!</f>
        <v>#REF!</v>
      </c>
    </row>
    <row r="11" spans="1:56" s="9" customFormat="1" ht="18.75" customHeight="1">
      <c r="A11" s="163"/>
      <c r="B11" s="164"/>
      <c r="C11" s="164"/>
      <c r="D11" s="165"/>
      <c r="E11" s="165"/>
      <c r="F11" s="166"/>
      <c r="G11" s="165"/>
      <c r="H11" s="166"/>
      <c r="I11" s="165"/>
      <c r="J11" s="164"/>
      <c r="K11" s="164"/>
      <c r="L11" s="167"/>
      <c r="M11" s="168"/>
      <c r="N11" s="164"/>
      <c r="O11" s="164"/>
      <c r="P11" s="164"/>
      <c r="Q11" s="169"/>
      <c r="R11" s="170"/>
      <c r="S11" s="163"/>
      <c r="T11" s="164"/>
      <c r="U11" s="164"/>
      <c r="V11" s="164"/>
      <c r="W11" s="164"/>
      <c r="X11" s="164"/>
      <c r="Y11" s="168"/>
      <c r="Z11" s="218"/>
      <c r="AA11" s="218"/>
      <c r="AB11" s="219"/>
      <c r="AC11" s="220"/>
      <c r="AD11" s="219"/>
      <c r="AE11" s="165"/>
      <c r="AF11" s="171"/>
      <c r="AG11" s="168"/>
      <c r="AH11" s="171"/>
      <c r="AI11" s="168"/>
      <c r="AJ11" s="171"/>
      <c r="AK11" s="270"/>
      <c r="AL11" s="165"/>
      <c r="AM11" s="165"/>
      <c r="AN11" s="165"/>
      <c r="AO11" s="165"/>
      <c r="AP11" s="163"/>
      <c r="AQ11" s="172"/>
      <c r="AR11" s="171"/>
      <c r="AS11" s="164"/>
      <c r="AT11" s="164"/>
      <c r="AU11" s="164"/>
      <c r="AV11" s="168"/>
      <c r="AW11" s="164"/>
      <c r="AX11" s="164"/>
      <c r="AY11" s="164"/>
      <c r="AZ11" s="164"/>
      <c r="BA11" s="164"/>
      <c r="BB11" s="164"/>
      <c r="BC11" s="164"/>
      <c r="BD11" s="164"/>
    </row>
    <row r="12" spans="1:56" s="9" customFormat="1">
      <c r="Q12" s="173"/>
      <c r="R12" s="173"/>
      <c r="Z12" s="221" t="s">
        <v>170</v>
      </c>
      <c r="AA12" s="271" t="e">
        <f>B10</f>
        <v>#REF!</v>
      </c>
      <c r="AB12" s="221"/>
      <c r="AC12" s="221"/>
      <c r="AD12" s="221"/>
      <c r="AG12" s="259"/>
      <c r="AI12" s="259"/>
      <c r="AQ12" s="9" t="s">
        <v>499</v>
      </c>
      <c r="AW12" s="49"/>
      <c r="AX12" s="49"/>
      <c r="AY12" s="49"/>
      <c r="AZ12" s="49"/>
      <c r="BA12" s="49"/>
      <c r="BB12" s="49"/>
      <c r="BC12" s="49"/>
      <c r="BD12" s="49"/>
    </row>
    <row r="13" spans="1:56" s="9" customFormat="1">
      <c r="Q13" s="173"/>
      <c r="R13" s="173"/>
      <c r="Z13" s="221" t="s">
        <v>169</v>
      </c>
      <c r="AA13" s="221" t="e">
        <f>AA12/0.22</f>
        <v>#REF!</v>
      </c>
      <c r="AB13" s="221" t="e">
        <f>AA13*10</f>
        <v>#REF!</v>
      </c>
      <c r="AC13" s="221"/>
      <c r="AD13" s="221"/>
      <c r="AG13" s="259"/>
      <c r="AI13" s="259"/>
      <c r="AW13" s="49"/>
      <c r="AX13" s="49"/>
      <c r="AY13" s="49"/>
      <c r="AZ13" s="49"/>
      <c r="BA13" s="49"/>
      <c r="BB13" s="49"/>
      <c r="BC13" s="49"/>
      <c r="BD13" s="49"/>
    </row>
    <row r="14" spans="1:56" s="9" customFormat="1">
      <c r="Q14" s="173"/>
      <c r="R14" s="173"/>
      <c r="Z14" s="221"/>
      <c r="AA14" s="221" t="e">
        <f>AB13*0.2247</f>
        <v>#REF!</v>
      </c>
      <c r="AB14" s="221" t="e">
        <f>SUM(AB11:AB13)*0.2247</f>
        <v>#REF!</v>
      </c>
      <c r="AC14" s="221">
        <f>50*0.2247</f>
        <v>11.235000000000001</v>
      </c>
      <c r="AD14" s="221"/>
      <c r="AG14" s="259"/>
      <c r="AI14" s="259"/>
      <c r="AW14" s="49"/>
      <c r="AX14" s="49"/>
      <c r="AY14" s="49"/>
      <c r="AZ14" s="49"/>
      <c r="BA14" s="49"/>
      <c r="BB14" s="49"/>
      <c r="BC14" s="49"/>
      <c r="BD14" s="49"/>
    </row>
    <row r="15" spans="1:56" s="9" customFormat="1">
      <c r="Q15" s="173"/>
      <c r="R15" s="173"/>
      <c r="Z15" s="221"/>
      <c r="AA15" s="221"/>
      <c r="AB15" s="221"/>
      <c r="AC15" s="221"/>
      <c r="AD15" s="221"/>
      <c r="AG15" s="259"/>
      <c r="AI15" s="259"/>
      <c r="AW15" s="49"/>
      <c r="AX15" s="49"/>
      <c r="AY15" s="49"/>
      <c r="AZ15" s="49"/>
      <c r="BA15" s="49"/>
      <c r="BB15" s="49"/>
      <c r="BC15" s="49"/>
      <c r="BD15" s="49"/>
    </row>
    <row r="16" spans="1:56" s="9" customFormat="1">
      <c r="Q16" s="173"/>
      <c r="R16" s="173"/>
      <c r="Z16" s="221"/>
      <c r="AA16" s="221"/>
      <c r="AB16" s="221"/>
      <c r="AC16" s="221"/>
      <c r="AD16" s="221"/>
      <c r="AG16" s="259"/>
      <c r="AI16" s="259"/>
      <c r="AW16" s="49"/>
      <c r="AX16" s="49"/>
      <c r="AY16" s="49"/>
      <c r="AZ16" s="49"/>
      <c r="BA16" s="49"/>
      <c r="BB16" s="49"/>
      <c r="BC16" s="49"/>
      <c r="BD16" s="49"/>
    </row>
    <row r="17" spans="17:56" s="9" customFormat="1">
      <c r="Q17" s="173"/>
      <c r="R17" s="173"/>
      <c r="Z17" s="221"/>
      <c r="AA17" s="221"/>
      <c r="AB17" s="221"/>
      <c r="AC17" s="221"/>
      <c r="AD17" s="221"/>
      <c r="AG17" s="259"/>
      <c r="AI17" s="259"/>
      <c r="AW17" s="49"/>
      <c r="AX17" s="49"/>
      <c r="AY17" s="49"/>
      <c r="AZ17" s="49"/>
      <c r="BA17" s="49"/>
      <c r="BB17" s="49"/>
      <c r="BC17" s="49"/>
      <c r="BD17" s="49"/>
    </row>
    <row r="18" spans="17:56" s="9" customFormat="1">
      <c r="Q18" s="173"/>
      <c r="R18" s="173"/>
      <c r="AG18" s="259"/>
      <c r="AI18" s="259"/>
      <c r="AW18" s="49"/>
      <c r="AX18" s="49"/>
      <c r="AY18" s="49"/>
      <c r="AZ18" s="49"/>
      <c r="BA18" s="49"/>
      <c r="BB18" s="49"/>
      <c r="BC18" s="49"/>
      <c r="BD18" s="49"/>
    </row>
    <row r="19" spans="17:56" s="9" customFormat="1">
      <c r="Q19" s="173"/>
      <c r="R19" s="173"/>
      <c r="AG19" s="259"/>
      <c r="AI19" s="259"/>
      <c r="AW19" s="49"/>
      <c r="AX19" s="49"/>
      <c r="AY19" s="49"/>
      <c r="AZ19" s="49"/>
      <c r="BA19" s="49"/>
      <c r="BB19" s="49"/>
      <c r="BC19" s="49"/>
      <c r="BD19" s="49"/>
    </row>
    <row r="20" spans="17:56" s="9" customFormat="1">
      <c r="Q20" s="173"/>
      <c r="R20" s="173"/>
      <c r="AG20" s="259"/>
      <c r="AI20" s="259"/>
      <c r="AW20" s="49"/>
      <c r="AX20" s="49"/>
      <c r="AY20" s="49"/>
      <c r="AZ20" s="49"/>
      <c r="BA20" s="49"/>
      <c r="BB20" s="49"/>
      <c r="BC20" s="49"/>
      <c r="BD20" s="49"/>
    </row>
  </sheetData>
  <mergeCells count="23">
    <mergeCell ref="T6:U6"/>
    <mergeCell ref="T5:U5"/>
    <mergeCell ref="H6:I6"/>
    <mergeCell ref="A2:O2"/>
    <mergeCell ref="A3:O3"/>
    <mergeCell ref="D5:E5"/>
    <mergeCell ref="F5:I5"/>
    <mergeCell ref="F6:G6"/>
    <mergeCell ref="Y5:AA5"/>
    <mergeCell ref="AF6:AG6"/>
    <mergeCell ref="AB5:AC5"/>
    <mergeCell ref="AB6:AC6"/>
    <mergeCell ref="Y6:AA6"/>
    <mergeCell ref="AF5:AG5"/>
    <mergeCell ref="AD6:AE6"/>
    <mergeCell ref="AH5:AI5"/>
    <mergeCell ref="AH6:AI6"/>
    <mergeCell ref="AD5:AE5"/>
    <mergeCell ref="AS5:AU8"/>
    <mergeCell ref="AQ6:AR6"/>
    <mergeCell ref="AJ6:AK6"/>
    <mergeCell ref="AQ5:AR5"/>
    <mergeCell ref="AJ5:AK5"/>
  </mergeCells>
  <phoneticPr fontId="5" type="noConversion"/>
  <pageMargins left="0.23" right="0.2" top="0.45" bottom="0.46" header="0.39" footer="0.32"/>
  <pageSetup paperSize="9" scale="93" fitToHeight="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26">
    <tabColor rgb="FF00B0F0"/>
  </sheetPr>
  <dimension ref="A2:D35"/>
  <sheetViews>
    <sheetView workbookViewId="0"/>
  </sheetViews>
  <sheetFormatPr defaultColWidth="9.109375" defaultRowHeight="13.2"/>
  <cols>
    <col min="1" max="1" width="45" customWidth="1"/>
    <col min="2" max="3" width="14" customWidth="1"/>
    <col min="4" max="4" width="9.109375" hidden="1" customWidth="1"/>
  </cols>
  <sheetData>
    <row r="2" spans="1:3" ht="33" customHeight="1">
      <c r="A2" s="355" t="s">
        <v>430</v>
      </c>
      <c r="B2" s="355"/>
      <c r="C2" s="355"/>
    </row>
    <row r="3" spans="1:3">
      <c r="A3" s="224" t="s">
        <v>590</v>
      </c>
      <c r="B3" s="2"/>
      <c r="C3" s="2"/>
    </row>
    <row r="4" spans="1:3" ht="13.8">
      <c r="A4" s="314" t="s">
        <v>181</v>
      </c>
      <c r="B4" s="314"/>
      <c r="C4" s="314"/>
    </row>
    <row r="5" spans="1:3" ht="13.8">
      <c r="A5" s="314" t="s">
        <v>232</v>
      </c>
      <c r="B5" s="314"/>
      <c r="C5" s="314"/>
    </row>
    <row r="6" spans="1:3">
      <c r="A6" s="2"/>
      <c r="B6" s="2"/>
      <c r="C6" s="2"/>
    </row>
    <row r="7" spans="1:3" ht="26.25" customHeight="1">
      <c r="A7" s="27" t="s">
        <v>233</v>
      </c>
      <c r="B7" s="2"/>
      <c r="C7" s="2"/>
    </row>
    <row r="8" spans="1:3" ht="29.25" customHeight="1" thickBot="1"/>
    <row r="9" spans="1:3" ht="15" customHeight="1">
      <c r="A9" s="3"/>
      <c r="B9" s="353" t="s">
        <v>354</v>
      </c>
      <c r="C9" s="354"/>
    </row>
    <row r="10" spans="1:3" ht="15" customHeight="1" thickBot="1">
      <c r="A10" s="24" t="s">
        <v>234</v>
      </c>
      <c r="B10" s="225" t="s">
        <v>235</v>
      </c>
      <c r="C10" s="226"/>
    </row>
    <row r="11" spans="1:3" ht="15" customHeight="1">
      <c r="A11" s="6"/>
      <c r="B11" s="32" t="s">
        <v>518</v>
      </c>
      <c r="C11" s="32" t="s">
        <v>428</v>
      </c>
    </row>
    <row r="12" spans="1:3" ht="15" customHeight="1" thickBot="1">
      <c r="A12" s="7"/>
      <c r="B12" s="18" t="s">
        <v>338</v>
      </c>
      <c r="C12" s="18" t="s">
        <v>520</v>
      </c>
    </row>
    <row r="13" spans="1:3" ht="22.5" customHeight="1">
      <c r="A13" s="21" t="s">
        <v>105</v>
      </c>
      <c r="B13" s="37"/>
      <c r="C13" s="37"/>
    </row>
    <row r="14" spans="1:3" ht="15.6" hidden="1">
      <c r="A14" s="31" t="s">
        <v>367</v>
      </c>
      <c r="B14" s="61" t="e">
        <f>#REF!</f>
        <v>#REF!</v>
      </c>
      <c r="C14" s="61" t="e">
        <f>#REF!</f>
        <v>#REF!</v>
      </c>
    </row>
    <row r="15" spans="1:3" ht="17.25" hidden="1" customHeight="1">
      <c r="A15" s="8" t="s">
        <v>675</v>
      </c>
      <c r="B15" s="62" t="e">
        <f>#REF!</f>
        <v>#REF!</v>
      </c>
      <c r="C15" s="62" t="e">
        <f>#REF!</f>
        <v>#REF!</v>
      </c>
    </row>
    <row r="16" spans="1:3" ht="18.75" customHeight="1">
      <c r="A16" s="8" t="s">
        <v>581</v>
      </c>
      <c r="B16" s="62" t="e">
        <f>#REF!</f>
        <v>#REF!</v>
      </c>
      <c r="C16" s="62" t="e">
        <f>#REF!</f>
        <v>#REF!</v>
      </c>
    </row>
    <row r="17" spans="1:4" ht="20.25" customHeight="1">
      <c r="A17" s="8" t="s">
        <v>339</v>
      </c>
      <c r="B17" s="62" t="e">
        <f>#REF!</f>
        <v>#REF!</v>
      </c>
      <c r="C17" s="62" t="e">
        <f>#REF!</f>
        <v>#REF!</v>
      </c>
    </row>
    <row r="18" spans="1:4" ht="15" customHeight="1">
      <c r="A18" s="8" t="s">
        <v>403</v>
      </c>
      <c r="B18" s="62"/>
      <c r="C18" s="62"/>
    </row>
    <row r="19" spans="1:4" ht="15" customHeight="1">
      <c r="A19" s="8" t="s">
        <v>404</v>
      </c>
      <c r="B19" s="62"/>
      <c r="C19" s="62"/>
    </row>
    <row r="20" spans="1:4" ht="15" customHeight="1">
      <c r="A20" s="8" t="s">
        <v>362</v>
      </c>
      <c r="B20" s="62" t="e">
        <f>SUM(B17:B19)</f>
        <v>#REF!</v>
      </c>
      <c r="C20" s="62" t="e">
        <f>SUM(C17:C19)</f>
        <v>#REF!</v>
      </c>
    </row>
    <row r="21" spans="1:4" ht="15" customHeight="1">
      <c r="A21" s="8" t="s">
        <v>401</v>
      </c>
      <c r="B21" s="62" t="e">
        <f>#REF!</f>
        <v>#REF!</v>
      </c>
      <c r="C21" s="62" t="e">
        <f>#REF!</f>
        <v>#REF!</v>
      </c>
    </row>
    <row r="22" spans="1:4" ht="15" customHeight="1">
      <c r="A22" s="8" t="s">
        <v>415</v>
      </c>
      <c r="B22" s="62"/>
      <c r="C22" s="62"/>
    </row>
    <row r="23" spans="1:4" ht="15" customHeight="1">
      <c r="A23" s="8" t="s">
        <v>510</v>
      </c>
      <c r="B23" s="62"/>
      <c r="C23" s="62"/>
    </row>
    <row r="24" spans="1:4" ht="15" customHeight="1">
      <c r="A24" s="8" t="s">
        <v>511</v>
      </c>
      <c r="B24" s="62"/>
      <c r="C24" s="62"/>
    </row>
    <row r="25" spans="1:4" ht="18.75" customHeight="1">
      <c r="A25" s="8" t="s">
        <v>427</v>
      </c>
      <c r="B25" s="62" t="e">
        <f>SUM(B21:B24)</f>
        <v>#REF!</v>
      </c>
      <c r="C25" s="62" t="e">
        <f>SUM(C21:C24)</f>
        <v>#REF!</v>
      </c>
    </row>
    <row r="26" spans="1:4" ht="21.75" customHeight="1">
      <c r="A26" s="8" t="s">
        <v>182</v>
      </c>
      <c r="B26" s="62" t="e">
        <f>B16+B20-B25</f>
        <v>#REF!</v>
      </c>
      <c r="C26" s="62" t="e">
        <f>C16+C20-C25</f>
        <v>#REF!</v>
      </c>
      <c r="D26" t="e">
        <f>C26/B26</f>
        <v>#REF!</v>
      </c>
    </row>
    <row r="27" spans="1:4" ht="15">
      <c r="A27" s="8" t="s">
        <v>517</v>
      </c>
      <c r="B27" s="62" t="e">
        <f>B26-B28</f>
        <v>#REF!</v>
      </c>
      <c r="C27" s="62" t="e">
        <f>B27*D26</f>
        <v>#REF!</v>
      </c>
    </row>
    <row r="28" spans="1:4" ht="17.25" customHeight="1">
      <c r="A28" s="8" t="s">
        <v>675</v>
      </c>
      <c r="B28" s="62" t="e">
        <f>B26</f>
        <v>#REF!</v>
      </c>
      <c r="C28" s="62" t="e">
        <f>C26-C27</f>
        <v>#REF!</v>
      </c>
    </row>
    <row r="29" spans="1:4" ht="20.25" customHeight="1">
      <c r="A29" s="31" t="s">
        <v>581</v>
      </c>
      <c r="B29" s="61" t="e">
        <f>#REF!</f>
        <v>#REF!</v>
      </c>
      <c r="C29" s="61" t="e">
        <f>#REF!</f>
        <v>#REF!</v>
      </c>
    </row>
    <row r="33" spans="1:1">
      <c r="A33" s="9" t="s">
        <v>594</v>
      </c>
    </row>
    <row r="34" spans="1:1">
      <c r="A34" s="9"/>
    </row>
    <row r="35" spans="1:1">
      <c r="A35" s="9" t="s">
        <v>512</v>
      </c>
    </row>
  </sheetData>
  <mergeCells count="4">
    <mergeCell ref="B9:C9"/>
    <mergeCell ref="A2:C2"/>
    <mergeCell ref="A5:C5"/>
    <mergeCell ref="A4:C4"/>
  </mergeCells>
  <phoneticPr fontId="5" type="noConversion"/>
  <pageMargins left="1.19" right="0.54" top="0.33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27">
    <tabColor rgb="FF00B0F0"/>
  </sheetPr>
  <dimension ref="A2:BL35"/>
  <sheetViews>
    <sheetView workbookViewId="0"/>
  </sheetViews>
  <sheetFormatPr defaultRowHeight="13.2"/>
  <cols>
    <col min="1" max="1" width="39.109375" customWidth="1"/>
    <col min="2" max="3" width="14.88671875" customWidth="1"/>
    <col min="4" max="111" width="9.33203125" customWidth="1"/>
  </cols>
  <sheetData>
    <row r="2" spans="1:38" ht="15" customHeight="1">
      <c r="A2" s="355" t="s">
        <v>430</v>
      </c>
      <c r="B2" s="355"/>
      <c r="C2" s="355"/>
    </row>
    <row r="3" spans="1:38">
      <c r="A3" s="356" t="s">
        <v>590</v>
      </c>
      <c r="B3" s="356"/>
      <c r="C3" s="356"/>
    </row>
    <row r="4" spans="1:38" ht="19.5" customHeight="1">
      <c r="A4" s="314" t="s">
        <v>181</v>
      </c>
      <c r="B4" s="314"/>
      <c r="C4" s="314"/>
    </row>
    <row r="5" spans="1:38" ht="14.25" customHeight="1">
      <c r="A5" s="314" t="s">
        <v>577</v>
      </c>
      <c r="B5" s="314"/>
      <c r="C5" s="314"/>
    </row>
    <row r="6" spans="1:38" ht="14.25" customHeight="1">
      <c r="A6" s="17"/>
      <c r="B6" s="17"/>
      <c r="C6" s="17"/>
    </row>
    <row r="7" spans="1:38" ht="14.25" customHeight="1">
      <c r="A7" s="316" t="s">
        <v>233</v>
      </c>
      <c r="B7" s="316"/>
      <c r="C7" s="316"/>
    </row>
    <row r="8" spans="1:38" ht="14.25" customHeight="1" thickBot="1"/>
    <row r="9" spans="1:38" ht="14.25" customHeight="1" thickBot="1">
      <c r="A9" s="3"/>
      <c r="B9" s="4"/>
      <c r="C9" s="5"/>
    </row>
    <row r="10" spans="1:38" ht="14.25" customHeight="1">
      <c r="A10" s="24" t="s">
        <v>234</v>
      </c>
      <c r="B10" s="32" t="s">
        <v>518</v>
      </c>
      <c r="C10" s="32" t="s">
        <v>519</v>
      </c>
    </row>
    <row r="11" spans="1:38" ht="14.25" customHeight="1">
      <c r="A11" s="6"/>
      <c r="B11" s="24" t="s">
        <v>338</v>
      </c>
      <c r="C11" s="24" t="s">
        <v>520</v>
      </c>
    </row>
    <row r="12" spans="1:38" ht="14.25" customHeight="1" thickBot="1">
      <c r="A12" s="7"/>
      <c r="B12" s="18"/>
      <c r="C12" s="18"/>
    </row>
    <row r="13" spans="1:38" ht="15.75" customHeight="1">
      <c r="A13" s="21" t="s">
        <v>105</v>
      </c>
      <c r="B13" s="222"/>
      <c r="C13" s="223"/>
    </row>
    <row r="14" spans="1:38" ht="15" hidden="1">
      <c r="A14" s="21" t="s">
        <v>517</v>
      </c>
      <c r="B14" s="63" t="e">
        <f>#REF!</f>
        <v>#REF!</v>
      </c>
      <c r="C14" s="62" t="e">
        <f>#REF!</f>
        <v>#REF!</v>
      </c>
    </row>
    <row r="15" spans="1:38" ht="16.5" hidden="1" customHeight="1">
      <c r="A15" s="21" t="s">
        <v>675</v>
      </c>
      <c r="B15" s="63" t="e">
        <f>#REF!</f>
        <v>#REF!</v>
      </c>
      <c r="C15" s="62" t="e">
        <f>#REF!</f>
        <v>#REF!</v>
      </c>
    </row>
    <row r="16" spans="1:38" ht="18.75" customHeight="1">
      <c r="A16" s="15" t="s">
        <v>581</v>
      </c>
      <c r="B16" s="63" t="e">
        <f>#REF!</f>
        <v>#REF!</v>
      </c>
      <c r="C16" s="62" t="e">
        <f>#REF!</f>
        <v>#REF!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</row>
    <row r="17" spans="1:64" ht="17.25" customHeight="1">
      <c r="A17" s="15" t="s">
        <v>339</v>
      </c>
      <c r="B17" s="62" t="e">
        <f>#REF!</f>
        <v>#REF!</v>
      </c>
      <c r="C17" s="62" t="e">
        <f>#REF!</f>
        <v>#REF!</v>
      </c>
    </row>
    <row r="18" spans="1:64" ht="15" customHeight="1">
      <c r="A18" s="8" t="s">
        <v>403</v>
      </c>
      <c r="B18" s="62"/>
      <c r="C18" s="62"/>
    </row>
    <row r="19" spans="1:64" ht="15" customHeight="1">
      <c r="A19" s="8" t="s">
        <v>404</v>
      </c>
      <c r="B19" s="62"/>
      <c r="C19" s="62"/>
    </row>
    <row r="20" spans="1:64" ht="15" customHeight="1">
      <c r="A20" s="8" t="s">
        <v>362</v>
      </c>
      <c r="B20" s="62" t="e">
        <f>SUM(B17:B19)</f>
        <v>#REF!</v>
      </c>
      <c r="C20" s="62" t="e">
        <f>SUM(C17:C19)</f>
        <v>#REF!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1:64" ht="15" customHeight="1">
      <c r="A21" s="8" t="s">
        <v>401</v>
      </c>
      <c r="B21" s="62" t="e">
        <f>#REF!</f>
        <v>#REF!</v>
      </c>
      <c r="C21" s="62" t="e">
        <f>#REF!</f>
        <v>#REF!</v>
      </c>
    </row>
    <row r="22" spans="1:64" ht="15" customHeight="1">
      <c r="A22" s="8" t="s">
        <v>415</v>
      </c>
      <c r="B22" s="62"/>
      <c r="C22" s="62"/>
    </row>
    <row r="23" spans="1:64" ht="15" customHeight="1">
      <c r="A23" s="8" t="s">
        <v>510</v>
      </c>
      <c r="B23" s="62" t="e">
        <f>#REF!</f>
        <v>#REF!</v>
      </c>
      <c r="C23" s="62" t="e">
        <f>#REF!</f>
        <v>#REF!</v>
      </c>
    </row>
    <row r="24" spans="1:64" ht="15" customHeight="1">
      <c r="A24" s="8" t="s">
        <v>511</v>
      </c>
      <c r="B24" s="62"/>
      <c r="C24" s="62"/>
    </row>
    <row r="25" spans="1:64" ht="20.25" customHeight="1">
      <c r="A25" s="8" t="s">
        <v>427</v>
      </c>
      <c r="B25" s="62" t="e">
        <f>SUM(B21:B24)</f>
        <v>#REF!</v>
      </c>
      <c r="C25" s="62" t="e">
        <f>SUM(C21:C24)</f>
        <v>#REF!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</row>
    <row r="26" spans="1:64" ht="22.5" customHeight="1">
      <c r="A26" s="8" t="s">
        <v>182</v>
      </c>
      <c r="B26" s="62" t="e">
        <f>B16+B20-B25</f>
        <v>#REF!</v>
      </c>
      <c r="C26" s="62" t="e">
        <f>C16+C20-C25</f>
        <v>#REF!</v>
      </c>
      <c r="D26" s="208"/>
    </row>
    <row r="27" spans="1:64" ht="15">
      <c r="A27" s="8" t="s">
        <v>517</v>
      </c>
      <c r="B27" s="62" t="e">
        <f>B26</f>
        <v>#REF!</v>
      </c>
      <c r="C27" s="62" t="e">
        <f>C26</f>
        <v>#REF!</v>
      </c>
      <c r="D27" s="33"/>
      <c r="E27" s="33"/>
      <c r="F27" s="33"/>
      <c r="G27" s="33"/>
      <c r="H27" s="33"/>
    </row>
    <row r="28" spans="1:64" ht="19.5" customHeight="1">
      <c r="A28" s="8" t="s">
        <v>675</v>
      </c>
      <c r="B28" s="62" t="e">
        <f>B26-B27</f>
        <v>#REF!</v>
      </c>
      <c r="C28" s="62" t="e">
        <f>C26-C27</f>
        <v>#REF!</v>
      </c>
    </row>
    <row r="29" spans="1:64" ht="23.25" customHeight="1">
      <c r="A29" s="8" t="s">
        <v>581</v>
      </c>
      <c r="B29" s="62" t="e">
        <f>#REF!</f>
        <v>#REF!</v>
      </c>
      <c r="C29" s="62" t="e">
        <f>#REF!</f>
        <v>#REF!</v>
      </c>
    </row>
    <row r="33" spans="1:1">
      <c r="A33" s="9" t="s">
        <v>594</v>
      </c>
    </row>
    <row r="34" spans="1:1">
      <c r="A34" s="9"/>
    </row>
    <row r="35" spans="1:1">
      <c r="A35" s="9" t="s">
        <v>512</v>
      </c>
    </row>
  </sheetData>
  <mergeCells count="5">
    <mergeCell ref="A7:C7"/>
    <mergeCell ref="A2:C2"/>
    <mergeCell ref="A3:C3"/>
    <mergeCell ref="A4:C4"/>
    <mergeCell ref="A5:C5"/>
  </mergeCells>
  <phoneticPr fontId="5" type="noConversion"/>
  <pageMargins left="1.2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28">
    <tabColor rgb="FF00B0F0"/>
  </sheetPr>
  <dimension ref="A2:C33"/>
  <sheetViews>
    <sheetView workbookViewId="0"/>
  </sheetViews>
  <sheetFormatPr defaultRowHeight="13.2"/>
  <cols>
    <col min="1" max="1" width="42.33203125" customWidth="1"/>
    <col min="2" max="3" width="14" customWidth="1"/>
    <col min="4" max="41" width="18.6640625" customWidth="1"/>
  </cols>
  <sheetData>
    <row r="2" spans="1:3" ht="22.2" customHeight="1">
      <c r="A2" s="355" t="s">
        <v>430</v>
      </c>
      <c r="B2" s="355"/>
      <c r="C2" s="355"/>
    </row>
    <row r="3" spans="1:3">
      <c r="A3" s="356" t="s">
        <v>590</v>
      </c>
      <c r="B3" s="356"/>
      <c r="C3" s="356"/>
    </row>
    <row r="4" spans="1:3" ht="20.25" customHeight="1">
      <c r="A4" s="314" t="s">
        <v>181</v>
      </c>
      <c r="B4" s="314"/>
      <c r="C4" s="314"/>
    </row>
    <row r="5" spans="1:3" ht="16.2" customHeight="1">
      <c r="A5" s="314" t="s">
        <v>578</v>
      </c>
      <c r="B5" s="314"/>
      <c r="C5" s="314"/>
    </row>
    <row r="6" spans="1:3">
      <c r="A6" s="17"/>
      <c r="B6" s="17"/>
      <c r="C6" s="17"/>
    </row>
    <row r="7" spans="1:3" ht="16.5" customHeight="1">
      <c r="A7" s="316" t="s">
        <v>233</v>
      </c>
      <c r="B7" s="316"/>
      <c r="C7" s="316"/>
    </row>
    <row r="8" spans="1:3" ht="16.5" customHeight="1" thickBot="1"/>
    <row r="9" spans="1:3" ht="14.25" customHeight="1" thickBot="1">
      <c r="A9" s="3"/>
      <c r="B9" s="4"/>
      <c r="C9" s="5"/>
    </row>
    <row r="10" spans="1:3" ht="14.25" customHeight="1">
      <c r="A10" s="24" t="s">
        <v>234</v>
      </c>
      <c r="B10" s="32" t="s">
        <v>518</v>
      </c>
      <c r="C10" s="32" t="s">
        <v>519</v>
      </c>
    </row>
    <row r="11" spans="1:3" ht="14.25" customHeight="1">
      <c r="A11" s="6"/>
      <c r="B11" s="24" t="s">
        <v>338</v>
      </c>
      <c r="C11" s="24" t="s">
        <v>636</v>
      </c>
    </row>
    <row r="12" spans="1:3" ht="14.25" customHeight="1" thickBot="1">
      <c r="A12" s="7"/>
      <c r="B12" s="18"/>
      <c r="C12" s="18"/>
    </row>
    <row r="13" spans="1:3" ht="19.95" customHeight="1">
      <c r="A13" t="s">
        <v>105</v>
      </c>
      <c r="B13" s="1"/>
      <c r="C13" s="1"/>
    </row>
    <row r="14" spans="1:3" ht="15">
      <c r="A14" s="21" t="s">
        <v>372</v>
      </c>
      <c r="B14" s="64" t="e">
        <f>#REF!</f>
        <v>#REF!</v>
      </c>
      <c r="C14" s="64" t="e">
        <f>#REF!</f>
        <v>#REF!</v>
      </c>
    </row>
    <row r="15" spans="1:3" ht="18" customHeight="1">
      <c r="A15" s="8" t="s">
        <v>576</v>
      </c>
      <c r="B15" s="64"/>
      <c r="C15" s="64"/>
    </row>
    <row r="16" spans="1:3" ht="18" customHeight="1">
      <c r="A16" s="8" t="s">
        <v>354</v>
      </c>
      <c r="B16" s="64" t="e">
        <f>SUM(B14:B15)</f>
        <v>#REF!</v>
      </c>
      <c r="C16" s="64" t="e">
        <f>SUM(C14:C15)</f>
        <v>#REF!</v>
      </c>
    </row>
    <row r="17" spans="1:3" ht="19.2" customHeight="1">
      <c r="A17" s="8" t="s">
        <v>339</v>
      </c>
      <c r="B17" s="64" t="e">
        <f>#REF!</f>
        <v>#REF!</v>
      </c>
      <c r="C17" s="64" t="e">
        <f>#REF!</f>
        <v>#REF!</v>
      </c>
    </row>
    <row r="18" spans="1:3" ht="18.600000000000001" customHeight="1">
      <c r="A18" s="8" t="s">
        <v>403</v>
      </c>
      <c r="B18" s="64" t="e">
        <f>#REF!</f>
        <v>#REF!</v>
      </c>
      <c r="C18" s="64" t="e">
        <f>#REF!</f>
        <v>#REF!</v>
      </c>
    </row>
    <row r="19" spans="1:3" ht="18" customHeight="1">
      <c r="A19" s="8" t="s">
        <v>404</v>
      </c>
      <c r="B19" s="64"/>
      <c r="C19" s="64"/>
    </row>
    <row r="20" spans="1:3" ht="18" customHeight="1">
      <c r="A20" s="8" t="s">
        <v>362</v>
      </c>
      <c r="B20" s="64" t="e">
        <f>SUM(B17:B19)</f>
        <v>#REF!</v>
      </c>
      <c r="C20" s="64" t="e">
        <f>SUM(C17:C19)</f>
        <v>#REF!</v>
      </c>
    </row>
    <row r="21" spans="1:3" ht="18.600000000000001" customHeight="1">
      <c r="A21" s="8" t="s">
        <v>401</v>
      </c>
      <c r="B21" s="64" t="e">
        <f>#REF!</f>
        <v>#REF!</v>
      </c>
      <c r="C21" s="64" t="e">
        <f>#REF!</f>
        <v>#REF!</v>
      </c>
    </row>
    <row r="22" spans="1:3" ht="18" customHeight="1">
      <c r="A22" s="8" t="s">
        <v>415</v>
      </c>
      <c r="B22" s="64"/>
      <c r="C22" s="64"/>
    </row>
    <row r="23" spans="1:3" ht="18" customHeight="1">
      <c r="A23" s="8" t="s">
        <v>510</v>
      </c>
      <c r="B23" s="64"/>
      <c r="C23" s="64"/>
    </row>
    <row r="24" spans="1:3" ht="18" customHeight="1">
      <c r="A24" s="8" t="s">
        <v>511</v>
      </c>
      <c r="B24" s="64"/>
      <c r="C24" s="64"/>
    </row>
    <row r="25" spans="1:3" ht="18.600000000000001" customHeight="1">
      <c r="A25" s="8" t="s">
        <v>427</v>
      </c>
      <c r="B25" s="64" t="e">
        <f>SUM(B21:B24)</f>
        <v>#REF!</v>
      </c>
      <c r="C25" s="64" t="e">
        <f>SUM(C21:C24)</f>
        <v>#REF!</v>
      </c>
    </row>
    <row r="26" spans="1:3" ht="23.4" customHeight="1">
      <c r="A26" s="8" t="s">
        <v>182</v>
      </c>
      <c r="B26" s="64" t="e">
        <f>B16+B20-B25</f>
        <v>#REF!</v>
      </c>
      <c r="C26" s="64" t="e">
        <f>C16+C20-C25</f>
        <v>#REF!</v>
      </c>
    </row>
    <row r="27" spans="1:3" ht="15">
      <c r="A27" s="8" t="s">
        <v>372</v>
      </c>
      <c r="B27" s="64" t="e">
        <f>#REF!</f>
        <v>#REF!</v>
      </c>
      <c r="C27" s="64" t="e">
        <f>#REF!</f>
        <v>#REF!</v>
      </c>
    </row>
    <row r="28" spans="1:3" ht="20.399999999999999" customHeight="1">
      <c r="A28" s="8" t="s">
        <v>576</v>
      </c>
      <c r="B28" s="64">
        <v>0</v>
      </c>
      <c r="C28" s="64">
        <v>0</v>
      </c>
    </row>
    <row r="29" spans="1:3" ht="19.2" customHeight="1">
      <c r="A29" s="8" t="s">
        <v>354</v>
      </c>
      <c r="B29" s="64" t="e">
        <f>B27</f>
        <v>#REF!</v>
      </c>
      <c r="C29" s="64" t="e">
        <f>C27</f>
        <v>#REF!</v>
      </c>
    </row>
    <row r="31" spans="1:3">
      <c r="A31" s="9" t="s">
        <v>594</v>
      </c>
    </row>
    <row r="32" spans="1:3">
      <c r="A32" s="9"/>
    </row>
    <row r="33" spans="1:1">
      <c r="A33" s="9" t="s">
        <v>512</v>
      </c>
    </row>
  </sheetData>
  <mergeCells count="5">
    <mergeCell ref="A7:C7"/>
    <mergeCell ref="A2:C2"/>
    <mergeCell ref="A3:C3"/>
    <mergeCell ref="A4:C4"/>
    <mergeCell ref="A5:C5"/>
  </mergeCells>
  <phoneticPr fontId="5" type="noConversion"/>
  <pageMargins left="1.42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29">
    <tabColor rgb="FF00B0F0"/>
  </sheetPr>
  <dimension ref="A2:E34"/>
  <sheetViews>
    <sheetView workbookViewId="0"/>
  </sheetViews>
  <sheetFormatPr defaultRowHeight="13.2"/>
  <cols>
    <col min="1" max="1" width="40" customWidth="1"/>
    <col min="2" max="2" width="24.6640625" customWidth="1"/>
    <col min="3" max="3" width="19.109375" customWidth="1"/>
    <col min="4" max="89" width="18.6640625" customWidth="1"/>
  </cols>
  <sheetData>
    <row r="2" spans="1:3" ht="22.2" customHeight="1">
      <c r="A2" s="355" t="s">
        <v>430</v>
      </c>
      <c r="B2" s="355"/>
      <c r="C2" s="355"/>
    </row>
    <row r="3" spans="1:3">
      <c r="A3" s="357" t="s">
        <v>590</v>
      </c>
      <c r="B3" s="357"/>
      <c r="C3" s="357"/>
    </row>
    <row r="4" spans="1:3" ht="29.4" customHeight="1">
      <c r="A4" s="314" t="s">
        <v>181</v>
      </c>
      <c r="B4" s="314"/>
      <c r="C4" s="314"/>
    </row>
    <row r="5" spans="1:3" ht="16.2" customHeight="1">
      <c r="A5" s="314" t="s">
        <v>363</v>
      </c>
      <c r="B5" s="314"/>
      <c r="C5" s="314"/>
    </row>
    <row r="6" spans="1:3" ht="27" customHeight="1">
      <c r="A6" s="316" t="s">
        <v>233</v>
      </c>
      <c r="B6" s="316"/>
      <c r="C6" s="316"/>
    </row>
    <row r="8" spans="1:3" ht="16.95" customHeight="1" thickBot="1">
      <c r="B8" s="2"/>
      <c r="C8" s="2"/>
    </row>
    <row r="9" spans="1:3" ht="16.95" customHeight="1">
      <c r="A9" s="32" t="s">
        <v>234</v>
      </c>
      <c r="B9" s="34" t="s">
        <v>518</v>
      </c>
      <c r="C9" s="32" t="s">
        <v>519</v>
      </c>
    </row>
    <row r="10" spans="1:3" ht="16.95" customHeight="1">
      <c r="A10" s="6"/>
      <c r="B10" s="35" t="s">
        <v>338</v>
      </c>
      <c r="C10" s="24" t="s">
        <v>636</v>
      </c>
    </row>
    <row r="11" spans="1:3" ht="16.95" customHeight="1" thickBot="1">
      <c r="A11" s="7"/>
      <c r="B11" s="36"/>
      <c r="C11" s="18"/>
    </row>
    <row r="12" spans="1:3" ht="19.95" customHeight="1">
      <c r="A12" t="s">
        <v>105</v>
      </c>
      <c r="B12" s="1"/>
      <c r="C12" s="1"/>
    </row>
    <row r="13" spans="1:3" ht="15">
      <c r="A13" t="s">
        <v>372</v>
      </c>
      <c r="B13" s="64" t="e">
        <f>#REF!</f>
        <v>#REF!</v>
      </c>
      <c r="C13" s="64" t="e">
        <f>#REF!</f>
        <v>#REF!</v>
      </c>
    </row>
    <row r="14" spans="1:3" ht="18" customHeight="1">
      <c r="A14" s="8" t="s">
        <v>576</v>
      </c>
      <c r="B14" s="64"/>
      <c r="C14" s="64"/>
    </row>
    <row r="15" spans="1:3" ht="18" customHeight="1">
      <c r="A15" s="8" t="s">
        <v>354</v>
      </c>
      <c r="B15" s="64" t="e">
        <f>SUM(B13:B14)</f>
        <v>#REF!</v>
      </c>
      <c r="C15" s="64" t="e">
        <f>SUM(C13:C14)</f>
        <v>#REF!</v>
      </c>
    </row>
    <row r="16" spans="1:3" ht="19.2" customHeight="1">
      <c r="A16" s="8" t="s">
        <v>339</v>
      </c>
      <c r="B16" s="64" t="e">
        <f>#REF!</f>
        <v>#REF!</v>
      </c>
      <c r="C16" s="64" t="e">
        <f>#REF!</f>
        <v>#REF!</v>
      </c>
    </row>
    <row r="17" spans="1:5" ht="18.600000000000001" customHeight="1">
      <c r="A17" s="8" t="s">
        <v>403</v>
      </c>
      <c r="B17" s="64" t="e">
        <f>#REF!</f>
        <v>#REF!</v>
      </c>
      <c r="C17" s="64" t="e">
        <f>#REF!</f>
        <v>#REF!</v>
      </c>
    </row>
    <row r="18" spans="1:5" ht="18" customHeight="1">
      <c r="A18" s="8" t="s">
        <v>404</v>
      </c>
      <c r="B18" s="64"/>
      <c r="C18" s="64"/>
    </row>
    <row r="19" spans="1:5" ht="18" customHeight="1">
      <c r="A19" s="8" t="s">
        <v>362</v>
      </c>
      <c r="B19" s="64" t="e">
        <f>SUM(B16:B18)</f>
        <v>#REF!</v>
      </c>
      <c r="C19" s="64" t="e">
        <f>SUM(C16:C18)</f>
        <v>#REF!</v>
      </c>
    </row>
    <row r="20" spans="1:5" ht="18.600000000000001" customHeight="1">
      <c r="A20" s="8" t="s">
        <v>401</v>
      </c>
      <c r="B20" s="64" t="e">
        <f>#REF!</f>
        <v>#REF!</v>
      </c>
      <c r="C20" s="64" t="e">
        <f>#REF!</f>
        <v>#REF!</v>
      </c>
    </row>
    <row r="21" spans="1:5" ht="18" customHeight="1">
      <c r="A21" s="8" t="s">
        <v>415</v>
      </c>
      <c r="B21" s="64"/>
      <c r="C21" s="64"/>
    </row>
    <row r="22" spans="1:5" ht="18" customHeight="1">
      <c r="A22" s="8" t="s">
        <v>510</v>
      </c>
      <c r="B22" s="64"/>
      <c r="C22" s="64"/>
    </row>
    <row r="23" spans="1:5" ht="18" customHeight="1">
      <c r="A23" s="8" t="s">
        <v>511</v>
      </c>
      <c r="B23" s="64"/>
      <c r="C23" s="64"/>
    </row>
    <row r="24" spans="1:5" ht="18.600000000000001" customHeight="1">
      <c r="A24" s="8" t="s">
        <v>427</v>
      </c>
      <c r="B24" s="64" t="e">
        <f>SUM(B20:B23)</f>
        <v>#REF!</v>
      </c>
      <c r="C24" s="64" t="e">
        <f>SUM(C20:C23)</f>
        <v>#REF!</v>
      </c>
    </row>
    <row r="25" spans="1:5" ht="23.4" customHeight="1">
      <c r="A25" s="8" t="s">
        <v>182</v>
      </c>
      <c r="B25" s="64" t="e">
        <f>B15+B19-B24</f>
        <v>#REF!</v>
      </c>
      <c r="C25" s="64" t="e">
        <f>C15+C19-C24</f>
        <v>#REF!</v>
      </c>
    </row>
    <row r="26" spans="1:5" ht="15">
      <c r="A26" s="8" t="s">
        <v>372</v>
      </c>
      <c r="B26" s="64" t="e">
        <f>#REF!</f>
        <v>#REF!</v>
      </c>
      <c r="C26" s="64" t="e">
        <f>#REF!</f>
        <v>#REF!</v>
      </c>
    </row>
    <row r="27" spans="1:5" ht="20.399999999999999" customHeight="1">
      <c r="A27" s="8" t="s">
        <v>576</v>
      </c>
      <c r="B27" s="64">
        <v>0</v>
      </c>
      <c r="C27" s="64">
        <v>0</v>
      </c>
    </row>
    <row r="28" spans="1:5" ht="19.2" customHeight="1">
      <c r="A28" s="8" t="s">
        <v>354</v>
      </c>
      <c r="B28" s="64" t="e">
        <f>B26</f>
        <v>#REF!</v>
      </c>
      <c r="C28" s="64" t="e">
        <f>C26</f>
        <v>#REF!</v>
      </c>
      <c r="E28" s="42"/>
    </row>
    <row r="32" spans="1:5">
      <c r="A32" s="9" t="s">
        <v>594</v>
      </c>
    </row>
    <row r="33" spans="1:1">
      <c r="A33" s="9"/>
    </row>
    <row r="34" spans="1:1">
      <c r="A34" s="9" t="s">
        <v>512</v>
      </c>
    </row>
  </sheetData>
  <mergeCells count="5">
    <mergeCell ref="A6:C6"/>
    <mergeCell ref="A2:C2"/>
    <mergeCell ref="A3:C3"/>
    <mergeCell ref="A4:C4"/>
    <mergeCell ref="A5:C5"/>
  </mergeCells>
  <phoneticPr fontId="5" type="noConversion"/>
  <pageMargins left="1.1200000000000001" right="0.43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30">
    <tabColor rgb="FF00B0F0"/>
  </sheetPr>
  <dimension ref="A1:C40"/>
  <sheetViews>
    <sheetView zoomScaleNormal="60" workbookViewId="0"/>
  </sheetViews>
  <sheetFormatPr defaultRowHeight="13.2"/>
  <cols>
    <col min="1" max="1" width="50.33203125" customWidth="1"/>
    <col min="2" max="2" width="15.6640625" customWidth="1"/>
    <col min="3" max="3" width="17.33203125" customWidth="1"/>
  </cols>
  <sheetData>
    <row r="1" spans="1:3">
      <c r="A1" s="2"/>
      <c r="B1" s="2"/>
      <c r="C1" s="2"/>
    </row>
    <row r="2" spans="1:3">
      <c r="B2" s="2"/>
      <c r="C2" s="2"/>
    </row>
    <row r="3" spans="1:3" ht="15.6">
      <c r="A3" s="355" t="s">
        <v>430</v>
      </c>
      <c r="B3" s="355"/>
      <c r="C3" s="355"/>
    </row>
    <row r="4" spans="1:3">
      <c r="A4" s="357" t="s">
        <v>590</v>
      </c>
      <c r="B4" s="357"/>
      <c r="C4" s="357"/>
    </row>
    <row r="5" spans="1:3" ht="13.8">
      <c r="A5" s="314" t="s">
        <v>181</v>
      </c>
      <c r="B5" s="314"/>
      <c r="C5" s="314"/>
    </row>
    <row r="6" spans="1:3" ht="17.399999999999999">
      <c r="A6" s="358" t="s">
        <v>589</v>
      </c>
      <c r="B6" s="358"/>
      <c r="C6" s="358"/>
    </row>
    <row r="7" spans="1:3" ht="17.399999999999999">
      <c r="A7" s="358" t="s">
        <v>233</v>
      </c>
      <c r="B7" s="358"/>
      <c r="C7" s="358"/>
    </row>
    <row r="8" spans="1:3" ht="13.8" thickBot="1"/>
    <row r="9" spans="1:3" ht="13.8" thickBot="1">
      <c r="A9" s="3"/>
      <c r="B9" s="4"/>
      <c r="C9" s="5"/>
    </row>
    <row r="10" spans="1:3">
      <c r="A10" s="24" t="s">
        <v>234</v>
      </c>
      <c r="B10" s="32" t="s">
        <v>518</v>
      </c>
      <c r="C10" s="32" t="s">
        <v>519</v>
      </c>
    </row>
    <row r="11" spans="1:3">
      <c r="A11" s="6"/>
      <c r="B11" s="24" t="s">
        <v>338</v>
      </c>
      <c r="C11" s="24" t="s">
        <v>636</v>
      </c>
    </row>
    <row r="12" spans="1:3" ht="13.8" thickBot="1">
      <c r="A12" s="6"/>
      <c r="B12" s="18"/>
      <c r="C12" s="18"/>
    </row>
    <row r="13" spans="1:3" ht="15">
      <c r="A13" s="174" t="s">
        <v>105</v>
      </c>
      <c r="B13" s="1"/>
      <c r="C13" s="1"/>
    </row>
    <row r="14" spans="1:3" ht="17.399999999999999">
      <c r="A14" s="175" t="s">
        <v>372</v>
      </c>
      <c r="B14" s="72" t="e">
        <f>#REF!</f>
        <v>#REF!</v>
      </c>
      <c r="C14" s="72" t="e">
        <f>#REF!</f>
        <v>#REF!</v>
      </c>
    </row>
    <row r="15" spans="1:3" ht="17.399999999999999">
      <c r="A15" s="66" t="s">
        <v>576</v>
      </c>
      <c r="B15" s="67"/>
      <c r="C15" s="67"/>
    </row>
    <row r="16" spans="1:3" ht="17.399999999999999">
      <c r="A16" s="66" t="s">
        <v>354</v>
      </c>
      <c r="B16" s="67" t="e">
        <f>SUM(B14:B15)</f>
        <v>#REF!</v>
      </c>
      <c r="C16" s="67" t="e">
        <f>SUM(C14:C15)</f>
        <v>#REF!</v>
      </c>
    </row>
    <row r="17" spans="1:3" ht="17.399999999999999">
      <c r="A17" s="66" t="s">
        <v>339</v>
      </c>
      <c r="B17" s="67" t="e">
        <f>#REF!</f>
        <v>#REF!</v>
      </c>
      <c r="C17" s="67" t="e">
        <f>#REF!</f>
        <v>#REF!</v>
      </c>
    </row>
    <row r="18" spans="1:3" ht="17.399999999999999">
      <c r="A18" s="66" t="s">
        <v>432</v>
      </c>
      <c r="B18" s="67" t="e">
        <f>#REF!</f>
        <v>#REF!</v>
      </c>
      <c r="C18" s="67" t="e">
        <f>#REF!</f>
        <v>#REF!</v>
      </c>
    </row>
    <row r="19" spans="1:3" ht="17.399999999999999">
      <c r="A19" s="66" t="s">
        <v>341</v>
      </c>
      <c r="B19" s="67"/>
      <c r="C19" s="67"/>
    </row>
    <row r="20" spans="1:3" ht="17.399999999999999">
      <c r="A20" s="66" t="s">
        <v>404</v>
      </c>
      <c r="B20" s="67"/>
      <c r="C20" s="67"/>
    </row>
    <row r="21" spans="1:3" ht="17.399999999999999">
      <c r="A21" s="66" t="s">
        <v>364</v>
      </c>
      <c r="B21" s="67" t="e">
        <f>SUM(B17:B20)</f>
        <v>#REF!</v>
      </c>
      <c r="C21" s="67" t="e">
        <f>SUM(C17:C20)</f>
        <v>#REF!</v>
      </c>
    </row>
    <row r="22" spans="1:3" ht="17.399999999999999">
      <c r="A22" s="66" t="s">
        <v>543</v>
      </c>
      <c r="B22" s="67" t="e">
        <f>#REF!</f>
        <v>#REF!</v>
      </c>
      <c r="C22" s="67" t="e">
        <f>#REF!</f>
        <v>#REF!</v>
      </c>
    </row>
    <row r="23" spans="1:3" ht="17.399999999999999">
      <c r="A23" s="66" t="s">
        <v>216</v>
      </c>
      <c r="B23" s="67" t="e">
        <f>B22</f>
        <v>#REF!</v>
      </c>
      <c r="C23" s="67" t="e">
        <f>C22</f>
        <v>#REF!</v>
      </c>
    </row>
    <row r="24" spans="1:3" ht="17.399999999999999">
      <c r="A24" s="66" t="s">
        <v>217</v>
      </c>
      <c r="B24" s="67"/>
      <c r="C24" s="67"/>
    </row>
    <row r="25" spans="1:3" ht="17.399999999999999">
      <c r="A25" s="66" t="s">
        <v>216</v>
      </c>
      <c r="B25" s="67"/>
      <c r="C25" s="67"/>
    </row>
    <row r="26" spans="1:3" ht="17.399999999999999">
      <c r="A26" s="66" t="s">
        <v>309</v>
      </c>
      <c r="B26" s="67"/>
      <c r="C26" s="67"/>
    </row>
    <row r="27" spans="1:3" ht="17.399999999999999">
      <c r="A27" s="66" t="s">
        <v>553</v>
      </c>
      <c r="B27" s="67" t="e">
        <f>#REF!</f>
        <v>#REF!</v>
      </c>
      <c r="C27" s="67" t="e">
        <f>#REF!</f>
        <v>#REF!</v>
      </c>
    </row>
    <row r="28" spans="1:3" ht="17.399999999999999">
      <c r="A28" s="66" t="s">
        <v>510</v>
      </c>
      <c r="B28" s="67"/>
      <c r="C28" s="67"/>
    </row>
    <row r="29" spans="1:3" ht="17.399999999999999">
      <c r="A29" s="66" t="s">
        <v>511</v>
      </c>
      <c r="B29" s="67"/>
      <c r="C29" s="67"/>
    </row>
    <row r="30" spans="1:3" ht="17.399999999999999">
      <c r="A30" s="66" t="s">
        <v>676</v>
      </c>
      <c r="B30" s="67" t="e">
        <f>B22+B29+B27</f>
        <v>#REF!</v>
      </c>
      <c r="C30" s="67" t="e">
        <f>C22+C29+C27</f>
        <v>#REF!</v>
      </c>
    </row>
    <row r="31" spans="1:3" ht="17.399999999999999">
      <c r="A31" s="66" t="s">
        <v>182</v>
      </c>
      <c r="B31" s="67" t="e">
        <f>B16+B21-B30</f>
        <v>#REF!</v>
      </c>
      <c r="C31" s="67" t="e">
        <f>C16+C21-C30</f>
        <v>#REF!</v>
      </c>
    </row>
    <row r="32" spans="1:3" ht="17.399999999999999">
      <c r="A32" s="66" t="s">
        <v>372</v>
      </c>
      <c r="B32" s="67">
        <v>0</v>
      </c>
      <c r="C32" s="67">
        <v>0</v>
      </c>
    </row>
    <row r="33" spans="1:3" ht="17.399999999999999">
      <c r="A33" s="66" t="s">
        <v>576</v>
      </c>
      <c r="B33" s="67" t="e">
        <f>B31</f>
        <v>#REF!</v>
      </c>
      <c r="C33" s="67" t="e">
        <f>C31</f>
        <v>#REF!</v>
      </c>
    </row>
    <row r="34" spans="1:3" ht="17.399999999999999">
      <c r="A34" s="66" t="s">
        <v>354</v>
      </c>
      <c r="B34" s="67" t="e">
        <f>B32+B33</f>
        <v>#REF!</v>
      </c>
      <c r="C34" s="67" t="e">
        <f>C32+C33</f>
        <v>#REF!</v>
      </c>
    </row>
    <row r="36" spans="1:3">
      <c r="B36" s="33"/>
      <c r="C36" s="33"/>
    </row>
    <row r="38" spans="1:3">
      <c r="A38" s="9" t="s">
        <v>594</v>
      </c>
    </row>
    <row r="39" spans="1:3">
      <c r="A39" s="9"/>
    </row>
    <row r="40" spans="1:3">
      <c r="A40" s="9" t="s">
        <v>512</v>
      </c>
    </row>
  </sheetData>
  <mergeCells count="5">
    <mergeCell ref="A7:C7"/>
    <mergeCell ref="A3:C3"/>
    <mergeCell ref="A4:C4"/>
    <mergeCell ref="A6:C6"/>
    <mergeCell ref="A5:C5"/>
  </mergeCells>
  <phoneticPr fontId="5" type="noConversion"/>
  <pageMargins left="1.07" right="0.28999999999999998" top="0.38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rgb="FF00B0F0"/>
  </sheetPr>
  <dimension ref="A1:K1813"/>
  <sheetViews>
    <sheetView tabSelected="1" topLeftCell="A109" zoomScaleSheetLayoutView="150" workbookViewId="0">
      <selection activeCell="F118" sqref="F118"/>
    </sheetView>
  </sheetViews>
  <sheetFormatPr defaultColWidth="9.109375" defaultRowHeight="13.2"/>
  <cols>
    <col min="1" max="1" width="54.33203125" style="410" customWidth="1"/>
    <col min="2" max="2" width="6.109375" style="411" customWidth="1"/>
    <col min="3" max="3" width="15" style="411" customWidth="1"/>
    <col min="4" max="4" width="15.5546875" style="411" customWidth="1"/>
    <col min="5" max="5" width="10.6640625" style="421" customWidth="1"/>
    <col min="6" max="6" width="12.109375" style="421" customWidth="1"/>
    <col min="7" max="7" width="9.5546875" style="421" bestFit="1" customWidth="1"/>
    <col min="8" max="8" width="9.88671875" style="421" bestFit="1" customWidth="1"/>
    <col min="9" max="9" width="9.5546875" style="421" bestFit="1" customWidth="1"/>
    <col min="10" max="11" width="9.21875" style="421" bestFit="1" customWidth="1"/>
    <col min="12" max="16384" width="9.109375" style="421"/>
  </cols>
  <sheetData>
    <row r="1" spans="1:4" s="412" customFormat="1">
      <c r="A1" s="410"/>
      <c r="B1" s="411"/>
      <c r="C1" s="411"/>
      <c r="D1" s="411"/>
    </row>
    <row r="2" spans="1:4" s="413" customFormat="1">
      <c r="A2" s="410"/>
      <c r="B2" s="411"/>
      <c r="C2" s="411"/>
      <c r="D2" s="411"/>
    </row>
    <row r="3" spans="1:4" s="413" customFormat="1">
      <c r="A3" s="410"/>
      <c r="B3" s="411"/>
      <c r="C3" s="411"/>
      <c r="D3" s="411"/>
    </row>
    <row r="4" spans="1:4" s="414" customFormat="1" ht="14.25" customHeight="1">
      <c r="A4" s="410"/>
      <c r="B4" s="411"/>
      <c r="C4" s="411"/>
      <c r="D4" s="411"/>
    </row>
    <row r="5" spans="1:4" s="413" customFormat="1" hidden="1">
      <c r="A5" s="410"/>
      <c r="B5" s="411"/>
      <c r="C5" s="411"/>
      <c r="D5" s="411"/>
    </row>
    <row r="6" spans="1:4" s="413" customFormat="1" ht="13.8">
      <c r="A6" s="415" t="s">
        <v>6</v>
      </c>
      <c r="B6" s="415"/>
      <c r="C6" s="415"/>
      <c r="D6" s="415"/>
    </row>
    <row r="7" spans="1:4" s="413" customFormat="1" ht="13.8">
      <c r="A7" s="415"/>
      <c r="B7" s="415"/>
      <c r="C7" s="415"/>
      <c r="D7" s="415"/>
    </row>
    <row r="8" spans="1:4" s="413" customFormat="1" ht="3.75" customHeight="1">
      <c r="A8" s="415" t="s">
        <v>5</v>
      </c>
      <c r="D8" s="416"/>
    </row>
    <row r="9" spans="1:4" s="413" customFormat="1">
      <c r="A9" s="413" t="s">
        <v>88</v>
      </c>
      <c r="C9" s="416" t="s">
        <v>707</v>
      </c>
      <c r="D9" s="417" t="s">
        <v>708</v>
      </c>
    </row>
    <row r="10" spans="1:4" s="413" customFormat="1">
      <c r="A10" s="413" t="s">
        <v>87</v>
      </c>
      <c r="B10" s="418"/>
      <c r="C10" s="416" t="s">
        <v>710</v>
      </c>
      <c r="D10" s="417" t="s">
        <v>711</v>
      </c>
    </row>
    <row r="11" spans="1:4" s="413" customFormat="1">
      <c r="A11" s="413" t="s">
        <v>712</v>
      </c>
      <c r="B11" s="418"/>
      <c r="C11" s="416" t="s">
        <v>713</v>
      </c>
      <c r="D11" s="419">
        <v>1153</v>
      </c>
    </row>
    <row r="12" spans="1:4" s="413" customFormat="1">
      <c r="A12" s="413" t="s">
        <v>89</v>
      </c>
      <c r="B12" s="418"/>
      <c r="C12" s="416" t="s">
        <v>717</v>
      </c>
      <c r="D12" s="419">
        <v>144</v>
      </c>
    </row>
    <row r="13" spans="1:4" s="413" customFormat="1">
      <c r="A13" s="413" t="s">
        <v>90</v>
      </c>
      <c r="B13" s="418"/>
      <c r="C13" s="416" t="s">
        <v>721</v>
      </c>
      <c r="D13" s="419">
        <v>8394</v>
      </c>
    </row>
    <row r="14" spans="1:4" s="413" customFormat="1">
      <c r="A14" s="413" t="s">
        <v>723</v>
      </c>
      <c r="B14" s="418"/>
      <c r="C14" s="416" t="s">
        <v>652</v>
      </c>
      <c r="D14" s="419">
        <v>200741734</v>
      </c>
    </row>
    <row r="15" spans="1:4" s="413" customFormat="1">
      <c r="A15" s="413" t="s">
        <v>91</v>
      </c>
      <c r="B15" s="418"/>
      <c r="C15" s="416" t="s">
        <v>727</v>
      </c>
      <c r="D15" s="419">
        <v>1718212555</v>
      </c>
    </row>
    <row r="16" spans="1:4" s="413" customFormat="1">
      <c r="A16" s="413" t="s">
        <v>92</v>
      </c>
      <c r="B16" s="418"/>
      <c r="C16" s="416" t="s">
        <v>731</v>
      </c>
      <c r="D16" s="419"/>
    </row>
    <row r="17" spans="1:4" s="413" customFormat="1" ht="6.75" customHeight="1">
      <c r="A17" s="413" t="s">
        <v>85</v>
      </c>
      <c r="B17" s="418"/>
      <c r="C17" s="416" t="s">
        <v>732</v>
      </c>
      <c r="D17" s="420"/>
    </row>
    <row r="18" spans="1:4" s="413" customFormat="1">
      <c r="C18" s="416" t="s">
        <v>733</v>
      </c>
      <c r="D18" s="420"/>
    </row>
    <row r="19" spans="1:4" s="413" customFormat="1">
      <c r="A19" s="413" t="s">
        <v>86</v>
      </c>
      <c r="C19" s="416"/>
      <c r="D19" s="420"/>
    </row>
    <row r="20" spans="1:4">
      <c r="A20" s="413" t="s">
        <v>734</v>
      </c>
      <c r="B20" s="413" t="s">
        <v>735</v>
      </c>
      <c r="C20" s="413" t="s">
        <v>55</v>
      </c>
      <c r="D20" s="413" t="s">
        <v>56</v>
      </c>
    </row>
    <row r="21" spans="1:4">
      <c r="A21" s="422">
        <v>1</v>
      </c>
      <c r="B21" s="423">
        <v>2</v>
      </c>
      <c r="C21" s="423">
        <v>3</v>
      </c>
      <c r="D21" s="423">
        <v>4</v>
      </c>
    </row>
    <row r="22" spans="1:4">
      <c r="A22" s="424" t="s">
        <v>807</v>
      </c>
      <c r="B22" s="419"/>
      <c r="C22" s="419"/>
    </row>
    <row r="23" spans="1:4">
      <c r="A23" s="425" t="s">
        <v>808</v>
      </c>
      <c r="B23" s="426"/>
      <c r="C23" s="427"/>
      <c r="D23" s="427"/>
    </row>
    <row r="24" spans="1:4">
      <c r="A24" s="425" t="s">
        <v>809</v>
      </c>
      <c r="B24" s="428"/>
      <c r="C24" s="427"/>
      <c r="D24" s="427"/>
    </row>
    <row r="25" spans="1:4">
      <c r="A25" s="425" t="s">
        <v>810</v>
      </c>
      <c r="B25" s="417" t="s">
        <v>255</v>
      </c>
      <c r="C25" s="425">
        <v>853481</v>
      </c>
      <c r="D25" s="429">
        <v>154631</v>
      </c>
    </row>
    <row r="26" spans="1:4">
      <c r="A26" s="430" t="s">
        <v>811</v>
      </c>
      <c r="B26" s="417" t="s">
        <v>256</v>
      </c>
      <c r="C26" s="425">
        <v>85550</v>
      </c>
      <c r="D26" s="429">
        <v>105531</v>
      </c>
    </row>
    <row r="27" spans="1:4">
      <c r="A27" s="430" t="s">
        <v>812</v>
      </c>
      <c r="B27" s="417" t="s">
        <v>392</v>
      </c>
      <c r="C27" s="425">
        <v>767931</v>
      </c>
      <c r="D27" s="429">
        <v>49100</v>
      </c>
    </row>
    <row r="28" spans="1:4">
      <c r="A28" s="430" t="s">
        <v>813</v>
      </c>
      <c r="B28" s="417"/>
      <c r="C28" s="425"/>
      <c r="D28" s="425"/>
    </row>
    <row r="29" spans="1:4">
      <c r="A29" s="430" t="s">
        <v>814</v>
      </c>
      <c r="B29" s="417" t="s">
        <v>329</v>
      </c>
      <c r="C29" s="425"/>
      <c r="D29" s="425"/>
    </row>
    <row r="30" spans="1:4">
      <c r="A30" s="430" t="s">
        <v>815</v>
      </c>
      <c r="B30" s="417" t="s">
        <v>330</v>
      </c>
      <c r="C30" s="425"/>
      <c r="D30" s="425"/>
    </row>
    <row r="31" spans="1:4">
      <c r="A31" s="430" t="s">
        <v>816</v>
      </c>
      <c r="B31" s="417" t="s">
        <v>243</v>
      </c>
      <c r="C31" s="425"/>
      <c r="D31" s="425"/>
    </row>
    <row r="32" spans="1:4" ht="26.4">
      <c r="A32" s="430" t="s">
        <v>817</v>
      </c>
      <c r="B32" s="417" t="s">
        <v>244</v>
      </c>
      <c r="C32" s="429">
        <v>2389203</v>
      </c>
      <c r="D32" s="429">
        <v>2331280</v>
      </c>
    </row>
    <row r="33" spans="1:4">
      <c r="A33" s="430" t="s">
        <v>818</v>
      </c>
      <c r="B33" s="417" t="s">
        <v>666</v>
      </c>
      <c r="C33" s="425">
        <v>131280</v>
      </c>
      <c r="D33" s="429">
        <v>131280</v>
      </c>
    </row>
    <row r="34" spans="1:4">
      <c r="A34" s="430" t="s">
        <v>819</v>
      </c>
      <c r="B34" s="417" t="s">
        <v>667</v>
      </c>
      <c r="C34" s="425"/>
      <c r="D34" s="425"/>
    </row>
    <row r="35" spans="1:4">
      <c r="A35" s="430" t="s">
        <v>820</v>
      </c>
      <c r="B35" s="417" t="s">
        <v>668</v>
      </c>
      <c r="C35" s="425">
        <v>2257923</v>
      </c>
      <c r="D35" s="429">
        <v>2200000</v>
      </c>
    </row>
    <row r="36" spans="1:4" ht="26.4">
      <c r="A36" s="430" t="s">
        <v>821</v>
      </c>
      <c r="B36" s="417" t="s">
        <v>669</v>
      </c>
      <c r="C36" s="425"/>
      <c r="D36" s="425"/>
    </row>
    <row r="37" spans="1:4">
      <c r="A37" s="430" t="s">
        <v>822</v>
      </c>
      <c r="B37" s="417" t="s">
        <v>304</v>
      </c>
      <c r="C37" s="425"/>
      <c r="D37" s="425"/>
    </row>
    <row r="38" spans="1:4">
      <c r="A38" s="430" t="s">
        <v>823</v>
      </c>
      <c r="B38" s="417" t="s">
        <v>534</v>
      </c>
      <c r="C38" s="425"/>
      <c r="D38" s="425"/>
    </row>
    <row r="39" spans="1:4">
      <c r="A39" s="430" t="s">
        <v>824</v>
      </c>
      <c r="B39" s="417" t="s">
        <v>535</v>
      </c>
      <c r="C39" s="425"/>
      <c r="D39" s="425"/>
    </row>
    <row r="40" spans="1:4">
      <c r="A40" s="430" t="s">
        <v>825</v>
      </c>
      <c r="B40" s="417" t="s">
        <v>328</v>
      </c>
      <c r="C40" s="425"/>
      <c r="D40" s="425"/>
    </row>
    <row r="41" spans="1:4">
      <c r="A41" s="430" t="s">
        <v>826</v>
      </c>
      <c r="B41" s="417" t="s">
        <v>303</v>
      </c>
      <c r="C41" s="425"/>
      <c r="D41" s="425"/>
    </row>
    <row r="42" spans="1:4">
      <c r="A42" s="430" t="s">
        <v>827</v>
      </c>
      <c r="B42" s="417" t="s">
        <v>402</v>
      </c>
      <c r="C42" s="425">
        <v>3157134</v>
      </c>
      <c r="D42" s="429">
        <v>2380380</v>
      </c>
    </row>
    <row r="43" spans="1:4">
      <c r="A43" s="430" t="s">
        <v>828</v>
      </c>
      <c r="B43" s="417"/>
      <c r="C43" s="425"/>
      <c r="D43" s="425"/>
    </row>
    <row r="44" spans="1:4">
      <c r="A44" s="425" t="s">
        <v>829</v>
      </c>
      <c r="B44" s="417" t="s">
        <v>186</v>
      </c>
      <c r="C44" s="425">
        <v>978758</v>
      </c>
      <c r="D44" s="429">
        <v>746161</v>
      </c>
    </row>
    <row r="45" spans="1:4">
      <c r="A45" s="430" t="s">
        <v>830</v>
      </c>
      <c r="B45" s="417" t="s">
        <v>187</v>
      </c>
      <c r="C45" s="425">
        <v>978758</v>
      </c>
      <c r="D45" s="429">
        <v>746161</v>
      </c>
    </row>
    <row r="46" spans="1:4">
      <c r="A46" s="430" t="s">
        <v>831</v>
      </c>
      <c r="B46" s="417" t="s">
        <v>188</v>
      </c>
      <c r="C46" s="425"/>
      <c r="D46" s="425"/>
    </row>
    <row r="47" spans="1:4">
      <c r="A47" s="430" t="s">
        <v>832</v>
      </c>
      <c r="B47" s="417" t="s">
        <v>189</v>
      </c>
      <c r="C47" s="425"/>
      <c r="D47" s="425"/>
    </row>
    <row r="48" spans="1:4">
      <c r="A48" s="430" t="s">
        <v>833</v>
      </c>
      <c r="B48" s="417" t="s">
        <v>190</v>
      </c>
      <c r="C48" s="425"/>
      <c r="D48" s="425"/>
    </row>
    <row r="49" spans="1:4">
      <c r="A49" s="430" t="s">
        <v>834</v>
      </c>
      <c r="B49" s="417" t="s">
        <v>191</v>
      </c>
      <c r="C49" s="425"/>
      <c r="D49" s="425"/>
    </row>
    <row r="50" spans="1:4">
      <c r="A50" s="430" t="s">
        <v>835</v>
      </c>
      <c r="B50" s="417" t="s">
        <v>192</v>
      </c>
      <c r="C50" s="425"/>
      <c r="D50" s="425"/>
    </row>
    <row r="51" spans="1:4" ht="26.4">
      <c r="A51" s="430" t="s">
        <v>836</v>
      </c>
      <c r="B51" s="417" t="s">
        <v>193</v>
      </c>
      <c r="C51" s="425">
        <v>32113576</v>
      </c>
      <c r="D51" s="429">
        <v>27239789</v>
      </c>
    </row>
    <row r="52" spans="1:4">
      <c r="A52" s="430" t="s">
        <v>837</v>
      </c>
      <c r="B52" s="417" t="s">
        <v>838</v>
      </c>
      <c r="C52" s="425"/>
      <c r="D52" s="425"/>
    </row>
    <row r="53" spans="1:4" ht="26.4">
      <c r="A53" s="430" t="s">
        <v>839</v>
      </c>
      <c r="B53" s="417" t="s">
        <v>194</v>
      </c>
      <c r="C53" s="425">
        <v>16399719</v>
      </c>
      <c r="D53" s="429">
        <v>15996619</v>
      </c>
    </row>
    <row r="54" spans="1:4">
      <c r="A54" s="430" t="s">
        <v>840</v>
      </c>
      <c r="B54" s="417" t="s">
        <v>195</v>
      </c>
      <c r="C54" s="425"/>
      <c r="D54" s="425"/>
    </row>
    <row r="55" spans="1:4">
      <c r="A55" s="430" t="s">
        <v>841</v>
      </c>
      <c r="B55" s="417" t="s">
        <v>196</v>
      </c>
      <c r="C55" s="425">
        <v>13428994</v>
      </c>
      <c r="D55" s="429">
        <v>8703994</v>
      </c>
    </row>
    <row r="56" spans="1:4">
      <c r="A56" s="430" t="s">
        <v>842</v>
      </c>
      <c r="B56" s="417" t="s">
        <v>197</v>
      </c>
      <c r="C56" s="425"/>
      <c r="D56" s="425"/>
    </row>
    <row r="57" spans="1:4" ht="26.4">
      <c r="A57" s="430" t="s">
        <v>843</v>
      </c>
      <c r="B57" s="417" t="s">
        <v>198</v>
      </c>
      <c r="C57" s="425"/>
      <c r="D57" s="425"/>
    </row>
    <row r="58" spans="1:4" ht="26.4">
      <c r="A58" s="430" t="s">
        <v>844</v>
      </c>
      <c r="B58" s="417" t="s">
        <v>199</v>
      </c>
      <c r="C58" s="425">
        <v>21829</v>
      </c>
      <c r="D58" s="429">
        <v>273530</v>
      </c>
    </row>
    <row r="59" spans="1:4" ht="26.4">
      <c r="A59" s="430" t="s">
        <v>845</v>
      </c>
      <c r="B59" s="417" t="s">
        <v>768</v>
      </c>
      <c r="C59" s="425">
        <v>0</v>
      </c>
      <c r="D59" s="429">
        <v>2612</v>
      </c>
    </row>
    <row r="60" spans="1:4">
      <c r="A60" s="430" t="s">
        <v>846</v>
      </c>
      <c r="B60" s="417" t="s">
        <v>200</v>
      </c>
      <c r="C60" s="425"/>
      <c r="D60" s="425"/>
    </row>
    <row r="61" spans="1:4">
      <c r="A61" s="431" t="s">
        <v>847</v>
      </c>
      <c r="B61" s="417" t="s">
        <v>773</v>
      </c>
      <c r="C61" s="425">
        <v>2167620</v>
      </c>
      <c r="D61" s="429">
        <v>2167620</v>
      </c>
    </row>
    <row r="62" spans="1:4">
      <c r="A62" s="430" t="s">
        <v>848</v>
      </c>
      <c r="B62" s="417" t="s">
        <v>775</v>
      </c>
      <c r="C62" s="425">
        <v>95414</v>
      </c>
      <c r="D62" s="429">
        <v>95414</v>
      </c>
    </row>
    <row r="63" spans="1:4">
      <c r="A63" s="430" t="s">
        <v>849</v>
      </c>
      <c r="B63" s="417" t="s">
        <v>777</v>
      </c>
      <c r="C63" s="425">
        <v>21825</v>
      </c>
      <c r="D63" s="425">
        <v>146</v>
      </c>
    </row>
    <row r="64" spans="1:4">
      <c r="A64" s="430" t="s">
        <v>850</v>
      </c>
      <c r="B64" s="417" t="s">
        <v>779</v>
      </c>
      <c r="C64" s="425">
        <v>0</v>
      </c>
      <c r="D64" s="425">
        <v>0</v>
      </c>
    </row>
    <row r="65" spans="1:5">
      <c r="A65" s="430" t="s">
        <v>851</v>
      </c>
      <c r="B65" s="417" t="s">
        <v>781</v>
      </c>
      <c r="C65" s="425">
        <v>21825</v>
      </c>
      <c r="D65" s="425">
        <v>146</v>
      </c>
    </row>
    <row r="66" spans="1:5">
      <c r="A66" s="430" t="s">
        <v>852</v>
      </c>
      <c r="B66" s="417" t="s">
        <v>783</v>
      </c>
      <c r="C66" s="425"/>
      <c r="D66" s="425"/>
    </row>
    <row r="67" spans="1:5">
      <c r="A67" s="430" t="s">
        <v>853</v>
      </c>
      <c r="B67" s="417" t="s">
        <v>785</v>
      </c>
      <c r="C67" s="425"/>
      <c r="D67" s="425"/>
    </row>
    <row r="68" spans="1:5">
      <c r="A68" s="430" t="s">
        <v>854</v>
      </c>
      <c r="B68" s="417" t="s">
        <v>786</v>
      </c>
      <c r="C68" s="425"/>
      <c r="D68" s="425"/>
    </row>
    <row r="69" spans="1:5">
      <c r="A69" s="430" t="s">
        <v>855</v>
      </c>
      <c r="B69" s="417" t="s">
        <v>788</v>
      </c>
      <c r="C69" s="425"/>
      <c r="D69" s="425"/>
    </row>
    <row r="70" spans="1:5">
      <c r="A70" s="430" t="s">
        <v>856</v>
      </c>
      <c r="B70" s="417" t="s">
        <v>790</v>
      </c>
      <c r="C70" s="429">
        <v>33114159</v>
      </c>
      <c r="D70" s="429">
        <v>27986096</v>
      </c>
    </row>
    <row r="71" spans="1:5">
      <c r="A71" s="432" t="s">
        <v>857</v>
      </c>
      <c r="B71" s="417" t="s">
        <v>792</v>
      </c>
      <c r="C71" s="429">
        <v>36271293</v>
      </c>
      <c r="D71" s="429">
        <v>30366476</v>
      </c>
    </row>
    <row r="72" spans="1:5">
      <c r="A72" s="432"/>
      <c r="B72" s="417"/>
      <c r="C72" s="425"/>
      <c r="D72" s="425"/>
    </row>
    <row r="73" spans="1:5">
      <c r="A73" s="425" t="s">
        <v>858</v>
      </c>
      <c r="B73" s="428"/>
      <c r="C73" s="425"/>
      <c r="D73" s="425"/>
    </row>
    <row r="74" spans="1:5">
      <c r="A74" s="425" t="s">
        <v>219</v>
      </c>
      <c r="B74" s="428">
        <v>410</v>
      </c>
      <c r="C74" s="429">
        <v>1463356</v>
      </c>
      <c r="D74" s="429">
        <v>1463356</v>
      </c>
    </row>
    <row r="75" spans="1:5">
      <c r="A75" s="431" t="s">
        <v>859</v>
      </c>
      <c r="B75" s="417" t="s">
        <v>795</v>
      </c>
      <c r="C75" s="425"/>
      <c r="D75" s="425"/>
    </row>
    <row r="76" spans="1:5">
      <c r="A76" s="431" t="s">
        <v>335</v>
      </c>
      <c r="B76" s="417" t="s">
        <v>797</v>
      </c>
      <c r="C76" s="429">
        <v>683353</v>
      </c>
      <c r="D76" s="429">
        <v>683353</v>
      </c>
    </row>
    <row r="77" spans="1:5">
      <c r="A77" s="431" t="s">
        <v>356</v>
      </c>
      <c r="B77" s="417" t="s">
        <v>799</v>
      </c>
      <c r="C77" s="425"/>
      <c r="D77" s="425"/>
      <c r="E77" s="411"/>
    </row>
    <row r="78" spans="1:5">
      <c r="A78" s="431" t="s">
        <v>860</v>
      </c>
      <c r="B78" s="417" t="s">
        <v>801</v>
      </c>
      <c r="C78" s="429">
        <v>-9061700</v>
      </c>
      <c r="D78" s="429">
        <v>-10739816</v>
      </c>
    </row>
    <row r="79" spans="1:5">
      <c r="A79" s="431" t="s">
        <v>861</v>
      </c>
      <c r="B79" s="417" t="s">
        <v>803</v>
      </c>
      <c r="C79" s="429">
        <v>12744821</v>
      </c>
      <c r="D79" s="429">
        <v>10859556</v>
      </c>
      <c r="E79" s="411"/>
    </row>
    <row r="80" spans="1:5">
      <c r="A80" s="431" t="s">
        <v>862</v>
      </c>
      <c r="B80" s="417" t="s">
        <v>804</v>
      </c>
      <c r="C80" s="425"/>
      <c r="D80" s="425"/>
    </row>
    <row r="81" spans="1:4">
      <c r="A81" s="431" t="s">
        <v>863</v>
      </c>
      <c r="B81" s="417" t="s">
        <v>806</v>
      </c>
      <c r="C81" s="429">
        <v>5829830</v>
      </c>
      <c r="D81" s="429">
        <v>2266449</v>
      </c>
    </row>
    <row r="82" spans="1:4">
      <c r="A82" s="431" t="s">
        <v>864</v>
      </c>
      <c r="B82" s="417"/>
      <c r="C82" s="425"/>
      <c r="D82" s="425"/>
    </row>
    <row r="83" spans="1:4">
      <c r="A83" s="422" t="s">
        <v>865</v>
      </c>
      <c r="B83" s="426">
        <v>490</v>
      </c>
      <c r="C83" s="425"/>
      <c r="D83" s="425"/>
    </row>
    <row r="84" spans="1:4" ht="18.75" customHeight="1">
      <c r="A84" s="431" t="s">
        <v>866</v>
      </c>
      <c r="B84" s="417" t="s">
        <v>867</v>
      </c>
      <c r="C84" s="425"/>
      <c r="D84" s="425"/>
    </row>
    <row r="85" spans="1:4" ht="26.4">
      <c r="A85" s="431" t="s">
        <v>868</v>
      </c>
      <c r="B85" s="417" t="s">
        <v>869</v>
      </c>
      <c r="C85" s="425"/>
      <c r="D85" s="425"/>
    </row>
    <row r="86" spans="1:4">
      <c r="A86" s="431" t="s">
        <v>870</v>
      </c>
      <c r="B86" s="417" t="s">
        <v>871</v>
      </c>
      <c r="C86" s="425"/>
      <c r="D86" s="425"/>
    </row>
    <row r="87" spans="1:4">
      <c r="A87" s="431" t="s">
        <v>872</v>
      </c>
      <c r="B87" s="417" t="s">
        <v>873</v>
      </c>
      <c r="C87" s="425"/>
      <c r="D87" s="425"/>
    </row>
    <row r="88" spans="1:4">
      <c r="A88" s="431" t="s">
        <v>874</v>
      </c>
      <c r="B88" s="417" t="s">
        <v>875</v>
      </c>
      <c r="C88" s="425"/>
      <c r="D88" s="425"/>
    </row>
    <row r="89" spans="1:4" ht="26.4">
      <c r="A89" s="431" t="s">
        <v>876</v>
      </c>
      <c r="B89" s="417" t="s">
        <v>877</v>
      </c>
      <c r="C89" s="425"/>
      <c r="D89" s="425"/>
    </row>
    <row r="90" spans="1:4">
      <c r="A90" s="431" t="s">
        <v>878</v>
      </c>
      <c r="B90" s="417" t="s">
        <v>879</v>
      </c>
      <c r="C90" s="425"/>
      <c r="D90" s="425"/>
    </row>
    <row r="91" spans="1:4">
      <c r="A91" s="431" t="s">
        <v>880</v>
      </c>
      <c r="B91" s="417" t="s">
        <v>881</v>
      </c>
      <c r="C91" s="425"/>
      <c r="D91" s="425"/>
    </row>
    <row r="92" spans="1:4">
      <c r="A92" s="431" t="s">
        <v>7</v>
      </c>
      <c r="B92" s="417" t="s">
        <v>8</v>
      </c>
      <c r="C92" s="425"/>
      <c r="D92" s="425"/>
    </row>
    <row r="93" spans="1:4">
      <c r="A93" s="431" t="s">
        <v>9</v>
      </c>
      <c r="B93" s="417" t="s">
        <v>10</v>
      </c>
      <c r="C93" s="425"/>
      <c r="D93" s="425"/>
    </row>
    <row r="94" spans="1:4">
      <c r="A94" s="431" t="s">
        <v>11</v>
      </c>
      <c r="B94" s="417" t="s">
        <v>12</v>
      </c>
      <c r="C94" s="425"/>
      <c r="D94" s="425"/>
    </row>
    <row r="95" spans="1:4" ht="29.25" customHeight="1">
      <c r="A95" s="431" t="s">
        <v>54</v>
      </c>
      <c r="B95" s="417" t="s">
        <v>13</v>
      </c>
      <c r="C95" s="429">
        <v>30411463</v>
      </c>
      <c r="D95" s="429">
        <v>28100027</v>
      </c>
    </row>
    <row r="96" spans="1:4" ht="26.4">
      <c r="A96" s="431" t="s">
        <v>14</v>
      </c>
      <c r="B96" s="417" t="s">
        <v>15</v>
      </c>
      <c r="C96" s="429">
        <v>30411463</v>
      </c>
      <c r="D96" s="429">
        <v>28100027</v>
      </c>
    </row>
    <row r="97" spans="1:4">
      <c r="A97" s="431" t="s">
        <v>16</v>
      </c>
      <c r="B97" s="417" t="s">
        <v>17</v>
      </c>
      <c r="C97" s="425"/>
      <c r="D97" s="425"/>
    </row>
    <row r="98" spans="1:4">
      <c r="A98" s="431" t="s">
        <v>18</v>
      </c>
      <c r="B98" s="417" t="s">
        <v>19</v>
      </c>
      <c r="C98" s="429">
        <v>340091</v>
      </c>
      <c r="D98" s="429">
        <v>343091</v>
      </c>
    </row>
    <row r="99" spans="1:4">
      <c r="A99" s="431" t="s">
        <v>20</v>
      </c>
      <c r="B99" s="417" t="s">
        <v>21</v>
      </c>
      <c r="C99" s="425"/>
      <c r="D99" s="425"/>
    </row>
    <row r="100" spans="1:4">
      <c r="A100" s="431" t="s">
        <v>22</v>
      </c>
      <c r="B100" s="417" t="s">
        <v>23</v>
      </c>
      <c r="C100" s="429">
        <v>55789</v>
      </c>
      <c r="D100" s="429">
        <v>55789</v>
      </c>
    </row>
    <row r="101" spans="1:4">
      <c r="A101" s="431" t="s">
        <v>24</v>
      </c>
      <c r="B101" s="417" t="s">
        <v>25</v>
      </c>
      <c r="C101" s="425"/>
      <c r="D101" s="425"/>
    </row>
    <row r="102" spans="1:4" ht="19.5" customHeight="1">
      <c r="A102" s="431" t="s">
        <v>26</v>
      </c>
      <c r="B102" s="417" t="s">
        <v>27</v>
      </c>
      <c r="C102" s="425"/>
      <c r="D102" s="425"/>
    </row>
    <row r="103" spans="1:4">
      <c r="A103" s="431" t="s">
        <v>28</v>
      </c>
      <c r="B103" s="417" t="s">
        <v>29</v>
      </c>
      <c r="C103" s="425"/>
      <c r="D103" s="425"/>
    </row>
    <row r="104" spans="1:4">
      <c r="A104" s="431" t="s">
        <v>30</v>
      </c>
      <c r="B104" s="417" t="s">
        <v>31</v>
      </c>
      <c r="C104" s="429">
        <v>29991342</v>
      </c>
      <c r="D104" s="429">
        <v>27665066</v>
      </c>
    </row>
    <row r="105" spans="1:4">
      <c r="A105" s="431" t="s">
        <v>32</v>
      </c>
      <c r="B105" s="417" t="s">
        <v>33</v>
      </c>
      <c r="C105" s="425">
        <v>3663</v>
      </c>
      <c r="D105" s="429">
        <v>12543</v>
      </c>
    </row>
    <row r="106" spans="1:4">
      <c r="A106" s="431" t="s">
        <v>34</v>
      </c>
      <c r="B106" s="417" t="s">
        <v>35</v>
      </c>
      <c r="C106" s="425"/>
      <c r="D106" s="425"/>
    </row>
    <row r="107" spans="1:4">
      <c r="A107" s="431" t="s">
        <v>36</v>
      </c>
      <c r="B107" s="417" t="s">
        <v>37</v>
      </c>
      <c r="C107" s="425">
        <v>0</v>
      </c>
      <c r="D107" s="429">
        <v>14538</v>
      </c>
    </row>
    <row r="108" spans="1:4">
      <c r="A108" s="431" t="s">
        <v>38</v>
      </c>
      <c r="B108" s="417" t="s">
        <v>39</v>
      </c>
      <c r="C108" s="425">
        <v>15000</v>
      </c>
      <c r="D108" s="425">
        <v>9000</v>
      </c>
    </row>
    <row r="109" spans="1:4">
      <c r="A109" s="431" t="s">
        <v>40</v>
      </c>
      <c r="B109" s="417" t="s">
        <v>41</v>
      </c>
      <c r="C109" s="425">
        <v>5578</v>
      </c>
      <c r="D109" s="425">
        <v>0</v>
      </c>
    </row>
    <row r="110" spans="1:4">
      <c r="A110" s="431" t="s">
        <v>42</v>
      </c>
      <c r="B110" s="417" t="s">
        <v>43</v>
      </c>
      <c r="C110" s="425"/>
      <c r="D110" s="425"/>
    </row>
    <row r="111" spans="1:4">
      <c r="A111" s="431" t="s">
        <v>44</v>
      </c>
      <c r="B111" s="417" t="s">
        <v>45</v>
      </c>
      <c r="C111" s="425"/>
      <c r="D111" s="425"/>
    </row>
    <row r="112" spans="1:4">
      <c r="A112" s="431" t="s">
        <v>46</v>
      </c>
      <c r="B112" s="417" t="s">
        <v>47</v>
      </c>
      <c r="C112" s="425"/>
      <c r="D112" s="425"/>
    </row>
    <row r="113" spans="1:5">
      <c r="A113" s="431" t="s">
        <v>48</v>
      </c>
      <c r="B113" s="417" t="s">
        <v>49</v>
      </c>
      <c r="C113" s="425"/>
      <c r="D113" s="425"/>
    </row>
    <row r="114" spans="1:5" s="433" customFormat="1">
      <c r="A114" s="431" t="s">
        <v>50</v>
      </c>
      <c r="B114" s="417" t="s">
        <v>51</v>
      </c>
      <c r="C114" s="429">
        <v>30441463</v>
      </c>
      <c r="D114" s="429">
        <v>28100027</v>
      </c>
    </row>
    <row r="115" spans="1:5" s="413" customFormat="1" ht="12.75" customHeight="1">
      <c r="A115" s="434" t="s">
        <v>52</v>
      </c>
      <c r="B115" s="417" t="s">
        <v>53</v>
      </c>
      <c r="C115" s="429">
        <v>36271293</v>
      </c>
      <c r="D115" s="429">
        <v>30366476</v>
      </c>
    </row>
    <row r="116" spans="1:5" s="413" customFormat="1">
      <c r="A116" s="431"/>
      <c r="B116" s="417"/>
      <c r="C116" s="435">
        <v>0</v>
      </c>
      <c r="D116" s="435">
        <v>0</v>
      </c>
    </row>
    <row r="117" spans="1:5" s="413" customFormat="1">
      <c r="A117" s="436" t="s">
        <v>57</v>
      </c>
      <c r="B117" s="437"/>
      <c r="C117" s="438"/>
      <c r="D117" s="439"/>
    </row>
    <row r="118" spans="1:5" s="413" customFormat="1" ht="30.6" customHeight="1">
      <c r="A118" s="440" t="s">
        <v>734</v>
      </c>
      <c r="B118" s="440" t="s">
        <v>735</v>
      </c>
      <c r="C118" s="440" t="s">
        <v>55</v>
      </c>
      <c r="D118" s="440" t="s">
        <v>56</v>
      </c>
    </row>
    <row r="119" spans="1:5" s="413" customFormat="1">
      <c r="A119" s="422">
        <v>1</v>
      </c>
      <c r="B119" s="423">
        <v>2</v>
      </c>
      <c r="C119" s="423">
        <v>3</v>
      </c>
      <c r="D119" s="423">
        <v>4</v>
      </c>
    </row>
    <row r="120" spans="1:5" s="413" customFormat="1">
      <c r="A120" s="424" t="s">
        <v>58</v>
      </c>
      <c r="B120" s="419">
        <v>790</v>
      </c>
      <c r="C120" s="419"/>
      <c r="D120" s="419"/>
    </row>
    <row r="121" spans="1:5" s="413" customFormat="1" ht="26.4" hidden="1">
      <c r="A121" s="441" t="s">
        <v>59</v>
      </c>
      <c r="B121" s="417" t="s">
        <v>60</v>
      </c>
      <c r="C121" s="442"/>
      <c r="D121" s="442"/>
    </row>
    <row r="122" spans="1:5" s="413" customFormat="1" hidden="1">
      <c r="A122" s="441" t="s">
        <v>61</v>
      </c>
      <c r="B122" s="417" t="s">
        <v>62</v>
      </c>
      <c r="C122" s="442"/>
      <c r="D122" s="442"/>
    </row>
    <row r="123" spans="1:5" s="413" customFormat="1" hidden="1">
      <c r="A123" s="441" t="s">
        <v>63</v>
      </c>
      <c r="B123" s="417" t="s">
        <v>64</v>
      </c>
      <c r="C123" s="442"/>
      <c r="D123" s="442"/>
    </row>
    <row r="124" spans="1:5" s="413" customFormat="1" hidden="1">
      <c r="A124" s="441" t="s">
        <v>65</v>
      </c>
      <c r="B124" s="417" t="s">
        <v>66</v>
      </c>
      <c r="C124" s="442"/>
      <c r="D124" s="442"/>
    </row>
    <row r="125" spans="1:5" s="413" customFormat="1" ht="2.25" customHeight="1">
      <c r="A125" s="441" t="s">
        <v>67</v>
      </c>
      <c r="B125" s="417" t="s">
        <v>68</v>
      </c>
      <c r="C125" s="442"/>
      <c r="D125" s="442"/>
    </row>
    <row r="126" spans="1:5" s="413" customFormat="1" ht="7.5" customHeight="1">
      <c r="A126" s="441" t="s">
        <v>69</v>
      </c>
      <c r="B126" s="417" t="s">
        <v>70</v>
      </c>
      <c r="C126" s="442"/>
      <c r="D126" s="442"/>
      <c r="E126" s="421"/>
    </row>
    <row r="127" spans="1:5" s="413" customFormat="1">
      <c r="A127" s="441" t="s">
        <v>71</v>
      </c>
      <c r="B127" s="417" t="s">
        <v>72</v>
      </c>
      <c r="C127" s="442"/>
      <c r="D127" s="442"/>
      <c r="E127" s="421"/>
    </row>
    <row r="128" spans="1:5" s="413" customFormat="1" ht="9" customHeight="1">
      <c r="A128" s="441" t="s">
        <v>73</v>
      </c>
      <c r="B128" s="417" t="s">
        <v>74</v>
      </c>
      <c r="C128" s="442"/>
      <c r="D128" s="442"/>
      <c r="E128" s="421"/>
    </row>
    <row r="129" spans="1:5" s="413" customFormat="1" ht="26.4">
      <c r="A129" s="441" t="s">
        <v>75</v>
      </c>
      <c r="B129" s="417" t="s">
        <v>76</v>
      </c>
      <c r="C129" s="442"/>
      <c r="D129" s="442"/>
      <c r="E129" s="421"/>
    </row>
    <row r="130" spans="1:5" s="413" customFormat="1" ht="8.25" customHeight="1">
      <c r="A130" s="441" t="s">
        <v>77</v>
      </c>
      <c r="B130" s="417" t="s">
        <v>78</v>
      </c>
      <c r="C130" s="442"/>
      <c r="D130" s="442"/>
      <c r="E130" s="421"/>
    </row>
    <row r="131" spans="1:5" s="413" customFormat="1" ht="11.25" customHeight="1">
      <c r="A131" s="441" t="s">
        <v>79</v>
      </c>
      <c r="B131" s="417" t="s">
        <v>80</v>
      </c>
      <c r="C131" s="442"/>
      <c r="D131" s="442"/>
      <c r="E131" s="421"/>
    </row>
    <row r="132" spans="1:5" s="433" customFormat="1">
      <c r="A132" s="441" t="s">
        <v>81</v>
      </c>
      <c r="B132" s="417" t="s">
        <v>82</v>
      </c>
      <c r="C132" s="442"/>
      <c r="D132" s="442"/>
      <c r="E132" s="421"/>
    </row>
    <row r="133" spans="1:5">
      <c r="A133" s="441" t="s">
        <v>83</v>
      </c>
      <c r="B133" s="417" t="s">
        <v>84</v>
      </c>
      <c r="C133" s="442"/>
      <c r="D133" s="442"/>
    </row>
    <row r="134" spans="1:5" ht="2.25" customHeight="1">
      <c r="A134" s="441"/>
      <c r="B134" s="417"/>
      <c r="C134" s="442"/>
      <c r="D134" s="442"/>
    </row>
    <row r="135" spans="1:5">
      <c r="A135" s="443" t="s">
        <v>185</v>
      </c>
      <c r="B135" s="443"/>
      <c r="C135" s="443"/>
      <c r="D135" s="421"/>
    </row>
    <row r="136" spans="1:5" ht="24" customHeight="1">
      <c r="A136" s="410" t="s">
        <v>1</v>
      </c>
    </row>
    <row r="138" spans="1:5" ht="3.75" customHeight="1"/>
    <row r="139" spans="1:5" ht="3" hidden="1" customHeight="1"/>
    <row r="140" spans="1:5" ht="0.75" customHeight="1"/>
    <row r="141" spans="1:5" ht="9" customHeight="1"/>
    <row r="142" spans="1:5" ht="12" customHeight="1"/>
    <row r="143" spans="1:5" ht="13.5" customHeight="1"/>
    <row r="144" spans="1:5" ht="15" customHeight="1"/>
    <row r="145" ht="12" customHeight="1"/>
    <row r="146" ht="12" customHeight="1"/>
    <row r="147" ht="10.5" customHeight="1"/>
    <row r="148" ht="11.25" customHeight="1"/>
    <row r="154" ht="7.5" customHeight="1"/>
    <row r="155" hidden="1"/>
    <row r="171" ht="15.75" customHeight="1"/>
    <row r="188" ht="17.25" customHeight="1"/>
    <row r="207" ht="9.75" customHeight="1"/>
    <row r="208" hidden="1"/>
    <row r="219" ht="22.5" customHeight="1"/>
    <row r="220" ht="18" customHeight="1"/>
    <row r="230" ht="28.5" customHeight="1"/>
    <row r="237" ht="14.25" customHeight="1"/>
    <row r="253" ht="15" customHeight="1"/>
    <row r="256" ht="12.75" customHeight="1"/>
    <row r="261" ht="15" customHeight="1"/>
    <row r="264" ht="0.75" customHeight="1"/>
    <row r="266" ht="14.25" customHeight="1"/>
    <row r="269" ht="4.5" customHeight="1"/>
    <row r="272" ht="4.5" customHeight="1"/>
    <row r="273" ht="1.5" customHeight="1"/>
    <row r="274" ht="6" hidden="1" customHeight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t="10.5" hidden="1" customHeight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t="12" customHeight="1"/>
    <row r="328" hidden="1"/>
    <row r="329" ht="10.5" customHeight="1"/>
    <row r="330" hidden="1"/>
    <row r="358" ht="14.25" customHeight="1"/>
    <row r="375" ht="17.25" customHeight="1"/>
    <row r="379" ht="15" customHeight="1"/>
    <row r="381" ht="24.75" customHeight="1"/>
    <row r="394" spans="6:6" ht="25.5" customHeight="1"/>
    <row r="400" spans="6:6">
      <c r="F400" s="411">
        <v>-7891445</v>
      </c>
    </row>
    <row r="407" ht="13.5" customHeight="1"/>
    <row r="424" ht="15" customHeight="1"/>
    <row r="437" spans="7:7">
      <c r="G437" s="421">
        <v>0</v>
      </c>
    </row>
    <row r="440" spans="7:7" ht="20.25" customHeight="1"/>
    <row r="443" spans="7:7" ht="18" customHeight="1"/>
    <row r="448" spans="7:7" ht="10.5" customHeight="1"/>
    <row r="451" ht="12" customHeight="1"/>
    <row r="453" ht="15.75" customHeight="1"/>
    <row r="456" ht="0.75" customHeight="1"/>
    <row r="460" ht="12" customHeight="1"/>
    <row r="461" hidden="1"/>
    <row r="462" hidden="1"/>
    <row r="463" hidden="1"/>
    <row r="464" hidden="1"/>
    <row r="465" hidden="1"/>
    <row r="466" ht="2.25" customHeight="1"/>
    <row r="467" ht="9" customHeight="1"/>
    <row r="469" ht="6" customHeight="1"/>
    <row r="481" ht="0.75" customHeight="1"/>
    <row r="498" ht="1.5" customHeight="1"/>
    <row r="519" ht="16.5" customHeight="1"/>
    <row r="540" spans="7:8">
      <c r="G540" s="411">
        <v>-7891445</v>
      </c>
    </row>
    <row r="541" spans="7:8">
      <c r="G541" s="411"/>
      <c r="H541" s="411"/>
    </row>
    <row r="564" ht="0.75" customHeight="1"/>
    <row r="572" ht="0.75" customHeight="1"/>
    <row r="573" hidden="1"/>
    <row r="574" hidden="1"/>
    <row r="580" ht="39" customHeight="1"/>
    <row r="583" ht="12" customHeight="1"/>
    <row r="588" ht="11.25" customHeight="1"/>
    <row r="591" ht="14.25" customHeight="1"/>
    <row r="593" ht="13.5" customHeight="1"/>
    <row r="603" ht="0.75" customHeight="1"/>
    <row r="604" hidden="1"/>
    <row r="605" hidden="1"/>
    <row r="606" hidden="1"/>
    <row r="607" hidden="1"/>
    <row r="610" ht="6" customHeight="1"/>
    <row r="611" ht="9.75" customHeight="1"/>
    <row r="622" ht="0.75" customHeight="1"/>
    <row r="639" ht="13.5" customHeight="1"/>
    <row r="660" ht="14.25" customHeight="1"/>
    <row r="669" ht="2.25" customHeight="1"/>
    <row r="681" spans="5:10">
      <c r="E681" s="421">
        <v>-8523367</v>
      </c>
      <c r="G681" s="421">
        <v>114696</v>
      </c>
    </row>
    <row r="682" spans="5:10">
      <c r="E682" s="411">
        <v>15291067</v>
      </c>
      <c r="F682" s="421">
        <v>1354261</v>
      </c>
      <c r="H682" s="411">
        <v>16742521</v>
      </c>
      <c r="J682" s="421">
        <v>18096782</v>
      </c>
    </row>
    <row r="684" spans="5:10">
      <c r="F684" s="411">
        <v>-9841167</v>
      </c>
      <c r="H684" s="421">
        <v>10251167</v>
      </c>
    </row>
    <row r="705" ht="18" customHeight="1"/>
    <row r="718" ht="12" customHeight="1"/>
    <row r="719" hidden="1"/>
    <row r="721" ht="19.5" customHeight="1"/>
    <row r="724" ht="16.5" customHeight="1"/>
    <row r="729" ht="15" customHeight="1"/>
    <row r="732" ht="16.5" customHeight="1"/>
    <row r="734" ht="17.25" customHeight="1"/>
    <row r="735" ht="12" customHeight="1"/>
    <row r="736" hidden="1"/>
    <row r="737" ht="1.5" customHeight="1"/>
    <row r="740" ht="11.25" customHeight="1"/>
    <row r="743" hidden="1"/>
    <row r="744" ht="9.75" customHeight="1"/>
    <row r="772" ht="18.75" customHeight="1"/>
    <row r="793" ht="15" customHeight="1"/>
    <row r="815" spans="6:9">
      <c r="F815" s="411">
        <v>14953793</v>
      </c>
      <c r="H815" s="427">
        <v>-8690137</v>
      </c>
      <c r="I815" s="427">
        <v>-8690137</v>
      </c>
    </row>
    <row r="817" spans="7:9">
      <c r="G817" s="421">
        <v>15609</v>
      </c>
      <c r="I817" s="421">
        <v>8425974</v>
      </c>
    </row>
    <row r="820" spans="7:9" ht="18.75" customHeight="1"/>
    <row r="821" spans="7:9" ht="17.25" customHeight="1"/>
    <row r="825" spans="7:9" ht="18.75" customHeight="1"/>
    <row r="831" spans="7:9" ht="24" customHeight="1"/>
    <row r="838" ht="16.5" customHeight="1"/>
    <row r="851" spans="8:11">
      <c r="H851" s="421">
        <v>32180849</v>
      </c>
      <c r="K851" s="421">
        <v>321665</v>
      </c>
    </row>
    <row r="854" spans="8:11" ht="22.5" customHeight="1"/>
    <row r="857" spans="8:11" ht="16.5" customHeight="1"/>
    <row r="862" spans="8:11" ht="15.75" customHeight="1"/>
    <row r="865" ht="15.75" customHeight="1"/>
    <row r="867" ht="14.25" customHeight="1"/>
    <row r="869" ht="11.25" customHeight="1"/>
    <row r="870" hidden="1"/>
    <row r="874" ht="6.75" customHeight="1"/>
    <row r="875" hidden="1"/>
    <row r="877" ht="7.5" customHeight="1"/>
    <row r="878" hidden="1"/>
    <row r="889" ht="1.5" customHeight="1"/>
    <row r="906" ht="2.25" customHeight="1"/>
    <row r="955" ht="18" customHeight="1"/>
    <row r="959" ht="15" customHeight="1"/>
    <row r="972" spans="7:7" ht="14.25" customHeight="1"/>
    <row r="975" spans="7:7">
      <c r="G975" s="444"/>
    </row>
    <row r="988" ht="38.25" customHeight="1"/>
    <row r="991" ht="14.25" customHeight="1"/>
    <row r="996" ht="18.75" customHeight="1"/>
    <row r="999" ht="15.75" customHeight="1"/>
    <row r="1001" ht="16.5" customHeight="1"/>
    <row r="1004" hidden="1"/>
    <row r="1007" ht="3.75" customHeight="1"/>
    <row r="1008" ht="3.75" customHeight="1"/>
    <row r="1009" hidden="1"/>
    <row r="1010" ht="1.5" customHeight="1"/>
    <row r="1011" hidden="1"/>
    <row r="1012" hidden="1"/>
    <row r="1013" hidden="1"/>
    <row r="1014" hidden="1"/>
    <row r="1015" hidden="1"/>
    <row r="1016" ht="9.75" customHeight="1"/>
    <row r="1017" ht="6" customHeight="1"/>
    <row r="1018" ht="11.25" customHeight="1"/>
    <row r="1067" ht="15.75" customHeight="1"/>
    <row r="1082" ht="2.25" customHeight="1"/>
    <row r="1094" ht="12.75" customHeight="1"/>
    <row r="1095" ht="18" customHeight="1"/>
    <row r="1096" hidden="1"/>
    <row r="1105" ht="36.75" customHeight="1"/>
    <row r="1121" ht="0.75" customHeight="1"/>
    <row r="1122" hidden="1"/>
    <row r="1128" ht="36" customHeight="1"/>
    <row r="1131" ht="19.5" customHeight="1"/>
    <row r="1136" ht="16.5" customHeight="1"/>
    <row r="1139" ht="19.5" customHeight="1"/>
    <row r="1141" ht="15.75" customHeight="1"/>
    <row r="1147" ht="9.75" customHeight="1"/>
    <row r="1148" hidden="1"/>
    <row r="1149" hidden="1"/>
    <row r="1151" ht="4.5" customHeight="1"/>
    <row r="1163" ht="0.75" customHeight="1"/>
    <row r="1174" spans="7:7" hidden="1"/>
    <row r="1179" spans="7:7">
      <c r="G1179" s="421">
        <v>345875</v>
      </c>
    </row>
    <row r="1180" spans="7:7" ht="13.5" customHeight="1"/>
    <row r="1195" spans="6:6">
      <c r="F1195" s="421">
        <v>32113576</v>
      </c>
    </row>
    <row r="1199" spans="6:6">
      <c r="F1199" s="421">
        <v>44645</v>
      </c>
    </row>
    <row r="1223" spans="6:7">
      <c r="F1223" s="421">
        <v>44645</v>
      </c>
      <c r="G1223" s="421">
        <v>345875</v>
      </c>
    </row>
    <row r="1225" spans="6:7">
      <c r="F1225" s="421">
        <v>5829830</v>
      </c>
    </row>
    <row r="1229" spans="6:7" ht="15.75" customHeight="1"/>
    <row r="1255" ht="0.75" customHeight="1"/>
    <row r="1256" hidden="1"/>
    <row r="1262" ht="38.25" customHeight="1"/>
    <row r="1265" ht="18" customHeight="1"/>
    <row r="1270" ht="17.25" customHeight="1"/>
    <row r="1273" ht="18" customHeight="1"/>
    <row r="1275" ht="15.75" customHeight="1"/>
    <row r="1277" ht="1.5" customHeight="1"/>
    <row r="1278" ht="1.5" customHeight="1"/>
    <row r="1281" ht="5.25" customHeight="1"/>
    <row r="1282" ht="2.25" hidden="1" customHeight="1"/>
    <row r="1284" ht="0.75" customHeight="1"/>
    <row r="1358" spans="6:6">
      <c r="F1358" s="421">
        <v>131280</v>
      </c>
    </row>
    <row r="1361" ht="17.25" customHeight="1"/>
    <row r="1362" ht="18" customHeight="1"/>
    <row r="1366" ht="17.25" customHeight="1"/>
    <row r="1379" ht="16.5" customHeight="1"/>
    <row r="1393" ht="2.25" customHeight="1"/>
    <row r="1395" ht="33.75" customHeight="1"/>
    <row r="1398" ht="16.5" customHeight="1"/>
    <row r="1403" ht="13.5" customHeight="1"/>
    <row r="1406" ht="18" customHeight="1"/>
    <row r="1408" ht="11.25" customHeight="1"/>
    <row r="1411" ht="1.5" customHeight="1"/>
    <row r="1550" ht="321.75" customHeight="1"/>
    <row r="1551" ht="366.75" customHeight="1"/>
    <row r="1552" ht="1.5" customHeight="1"/>
    <row r="1553" ht="22.5" customHeight="1"/>
    <row r="1556" ht="42.75" hidden="1" customHeight="1"/>
    <row r="1564" ht="2.25" customHeight="1"/>
    <row r="1571" spans="6:6">
      <c r="F1571" s="445"/>
    </row>
    <row r="1581" spans="6:6" ht="14.25" customHeight="1"/>
    <row r="1598" ht="18.75" customHeight="1"/>
    <row r="1602" ht="15" customHeight="1"/>
    <row r="1603" ht="16.5" customHeight="1"/>
    <row r="1616" ht="12" customHeight="1"/>
    <row r="1617" hidden="1"/>
    <row r="1629" ht="12" customHeight="1"/>
    <row r="1630" ht="15" customHeight="1"/>
    <row r="1663" ht="39.75" customHeight="1"/>
    <row r="1671" ht="12.75" customHeight="1"/>
    <row r="1676" ht="16.5" customHeight="1"/>
    <row r="1679" hidden="1"/>
    <row r="1683" ht="15" customHeight="1"/>
    <row r="1684" ht="3.75" customHeight="1"/>
    <row r="1685" ht="11.25" customHeight="1"/>
    <row r="1686" ht="4.5" customHeight="1"/>
    <row r="1687" ht="0.75" customHeight="1"/>
    <row r="1698" hidden="1"/>
    <row r="1699" ht="9" customHeight="1"/>
    <row r="1723" spans="6:6">
      <c r="F1723" s="421">
        <v>856713</v>
      </c>
    </row>
    <row r="1751" spans="6:7" ht="24.75" customHeight="1"/>
    <row r="1752" spans="6:7" ht="21.75" customHeight="1"/>
    <row r="1757" spans="6:7">
      <c r="G1757" s="421">
        <v>1678116</v>
      </c>
    </row>
    <row r="1758" spans="6:7">
      <c r="F1758" s="421">
        <v>99880</v>
      </c>
    </row>
    <row r="1760" spans="6:7">
      <c r="F1760" s="421">
        <v>1338303</v>
      </c>
    </row>
    <row r="1764" ht="15.75" customHeight="1"/>
    <row r="1795" ht="0.75" customHeight="1"/>
    <row r="1797" ht="24.75" customHeight="1"/>
    <row r="1800" ht="15" customHeight="1"/>
    <row r="1805" ht="0.75" customHeight="1"/>
    <row r="1808" ht="16.5" customHeight="1"/>
    <row r="1810" ht="13.5" customHeight="1"/>
    <row r="1812" ht="12" customHeight="1"/>
    <row r="1813" hidden="1"/>
  </sheetData>
  <phoneticPr fontId="0" type="noConversion"/>
  <pageMargins left="0.9055118110236221" right="0.19685039370078741" top="0.43307086614173229" bottom="0.35433070866141736" header="0.19685039370078741" footer="0.19685039370078741"/>
  <pageSetup paperSize="9" scale="90" orientation="portrait" r:id="rId1"/>
  <headerFooter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31">
    <tabColor rgb="FF00B0F0"/>
    <pageSetUpPr fitToPage="1"/>
  </sheetPr>
  <dimension ref="A2:H45"/>
  <sheetViews>
    <sheetView workbookViewId="0"/>
  </sheetViews>
  <sheetFormatPr defaultColWidth="9.109375" defaultRowHeight="15.6"/>
  <cols>
    <col min="1" max="1" width="63" style="211" customWidth="1"/>
    <col min="2" max="2" width="13.109375" style="211" customWidth="1"/>
    <col min="3" max="3" width="15.33203125" style="211" customWidth="1"/>
    <col min="4" max="4" width="10.88671875" style="211" hidden="1" customWidth="1"/>
    <col min="5" max="7" width="9.109375" style="211"/>
    <col min="8" max="8" width="11.6640625" style="211" customWidth="1"/>
    <col min="9" max="16384" width="9.109375" style="211"/>
  </cols>
  <sheetData>
    <row r="2" spans="1:4" s="246" customFormat="1">
      <c r="A2" s="359" t="s">
        <v>183</v>
      </c>
      <c r="B2" s="360"/>
      <c r="C2" s="360"/>
    </row>
    <row r="3" spans="1:4" s="227" customFormat="1" ht="18">
      <c r="A3" s="361" t="s">
        <v>405</v>
      </c>
      <c r="B3" s="361"/>
      <c r="C3" s="361"/>
    </row>
    <row r="4" spans="1:4" ht="18" customHeight="1" thickBot="1"/>
    <row r="5" spans="1:4" s="246" customFormat="1" ht="16.2" thickBot="1">
      <c r="A5" s="362" t="s">
        <v>406</v>
      </c>
      <c r="B5" s="365" t="s">
        <v>521</v>
      </c>
      <c r="C5" s="366"/>
    </row>
    <row r="6" spans="1:4" s="246" customFormat="1">
      <c r="A6" s="363"/>
      <c r="B6" s="247" t="s">
        <v>586</v>
      </c>
      <c r="C6" s="247" t="s">
        <v>428</v>
      </c>
    </row>
    <row r="7" spans="1:4" s="246" customFormat="1" ht="16.2" thickBot="1">
      <c r="A7" s="364"/>
      <c r="B7" s="248" t="s">
        <v>338</v>
      </c>
      <c r="C7" s="248" t="s">
        <v>520</v>
      </c>
    </row>
    <row r="8" spans="1:4">
      <c r="A8" s="249" t="s">
        <v>104</v>
      </c>
      <c r="B8" s="250" t="e">
        <f>B9+B10</f>
        <v>#REF!</v>
      </c>
      <c r="C8" s="250" t="e">
        <f>C9+C10</f>
        <v>#REF!</v>
      </c>
    </row>
    <row r="9" spans="1:4">
      <c r="A9" s="249" t="s">
        <v>155</v>
      </c>
      <c r="B9" s="250"/>
      <c r="C9" s="250"/>
    </row>
    <row r="10" spans="1:4">
      <c r="A10" s="251" t="s">
        <v>579</v>
      </c>
      <c r="B10" s="250" t="e">
        <f>#REF!</f>
        <v>#REF!</v>
      </c>
      <c r="C10" s="250" t="e">
        <f>#REF!</f>
        <v>#REF!</v>
      </c>
      <c r="D10" s="211" t="e">
        <f>C10/B10</f>
        <v>#REF!</v>
      </c>
    </row>
    <row r="11" spans="1:4">
      <c r="A11" s="249" t="s">
        <v>580</v>
      </c>
      <c r="B11" s="250" t="e">
        <f>#REF!</f>
        <v>#REF!</v>
      </c>
      <c r="C11" s="250" t="e">
        <f>#REF!</f>
        <v>#REF!</v>
      </c>
      <c r="D11" s="211" t="e">
        <f>C11/B11</f>
        <v>#REF!</v>
      </c>
    </row>
    <row r="12" spans="1:4">
      <c r="A12" s="249" t="s">
        <v>361</v>
      </c>
      <c r="B12" s="250"/>
      <c r="C12" s="250"/>
    </row>
    <row r="13" spans="1:4">
      <c r="A13" s="249" t="s">
        <v>156</v>
      </c>
      <c r="B13" s="250">
        <f>'уруг олди-берди'!H12/1000</f>
        <v>7.2190000000000003</v>
      </c>
      <c r="C13" s="250">
        <f>'уруг олди-берди'!I12/1000</f>
        <v>59378.173999999999</v>
      </c>
      <c r="D13" s="211">
        <f>C13/B13</f>
        <v>8225.2630558249057</v>
      </c>
    </row>
    <row r="14" spans="1:4">
      <c r="A14" s="249" t="s">
        <v>157</v>
      </c>
      <c r="B14" s="250">
        <f>'уруг олди-берди'!H13/1000</f>
        <v>465.33499999999998</v>
      </c>
      <c r="C14" s="250">
        <f>'уруг олди-берди'!I13/1000</f>
        <v>1927644.6410000001</v>
      </c>
    </row>
    <row r="15" spans="1:4">
      <c r="A15" s="249" t="s">
        <v>158</v>
      </c>
      <c r="B15" s="250"/>
      <c r="C15" s="250"/>
    </row>
    <row r="16" spans="1:4">
      <c r="A16" s="249" t="s">
        <v>159</v>
      </c>
      <c r="B16" s="250"/>
      <c r="C16" s="250"/>
    </row>
    <row r="17" spans="1:4">
      <c r="A17" s="249" t="s">
        <v>411</v>
      </c>
      <c r="B17" s="250"/>
      <c r="C17" s="250"/>
    </row>
    <row r="18" spans="1:4" s="253" customFormat="1" ht="31.2">
      <c r="A18" s="252" t="s">
        <v>373</v>
      </c>
      <c r="B18" s="250">
        <v>1098.5</v>
      </c>
      <c r="C18" s="250">
        <v>6920327</v>
      </c>
    </row>
    <row r="19" spans="1:4">
      <c r="A19" s="249" t="s">
        <v>374</v>
      </c>
      <c r="B19" s="250"/>
      <c r="C19" s="250"/>
    </row>
    <row r="20" spans="1:4">
      <c r="A20" s="249" t="s">
        <v>404</v>
      </c>
      <c r="B20" s="250"/>
      <c r="C20" s="250"/>
    </row>
    <row r="21" spans="1:4" s="256" customFormat="1">
      <c r="A21" s="254" t="s">
        <v>362</v>
      </c>
      <c r="B21" s="255" t="e">
        <f>SUM(B11:B20)</f>
        <v>#REF!</v>
      </c>
      <c r="C21" s="255" t="e">
        <f>SUM(C11:C20)</f>
        <v>#REF!</v>
      </c>
    </row>
    <row r="22" spans="1:4">
      <c r="A22" s="249"/>
      <c r="B22" s="250"/>
      <c r="C22" s="250"/>
    </row>
    <row r="23" spans="1:4" s="253" customFormat="1" ht="31.2">
      <c r="A23" s="252" t="s">
        <v>257</v>
      </c>
      <c r="B23" s="250">
        <v>1098.5</v>
      </c>
      <c r="C23" s="250">
        <v>2246289</v>
      </c>
      <c r="D23" s="211">
        <f t="shared" ref="D23:D33" si="0">C23/B23</f>
        <v>2044.8693673190714</v>
      </c>
    </row>
    <row r="24" spans="1:4">
      <c r="A24" s="249" t="s">
        <v>230</v>
      </c>
      <c r="B24" s="250">
        <v>86.4</v>
      </c>
      <c r="C24" s="250">
        <v>12701.4</v>
      </c>
      <c r="D24" s="211">
        <f t="shared" si="0"/>
        <v>147.00694444444443</v>
      </c>
    </row>
    <row r="25" spans="1:4">
      <c r="A25" s="249" t="s">
        <v>205</v>
      </c>
      <c r="B25" s="250"/>
      <c r="C25" s="250"/>
    </row>
    <row r="26" spans="1:4">
      <c r="A26" s="249" t="s">
        <v>160</v>
      </c>
      <c r="B26" s="250">
        <f>'уруг олди-берди'!H29/1000</f>
        <v>380.00099999999998</v>
      </c>
      <c r="C26" s="250">
        <f>'уруг олди-берди'!I29/1000</f>
        <v>2247439.0090000001</v>
      </c>
      <c r="D26" s="211">
        <f t="shared" si="0"/>
        <v>5914.2976176378488</v>
      </c>
    </row>
    <row r="27" spans="1:4">
      <c r="A27" s="249" t="s">
        <v>161</v>
      </c>
      <c r="B27" s="250">
        <f>'уруг олди-берди'!H30/1000</f>
        <v>154.92400000000001</v>
      </c>
      <c r="C27" s="250">
        <f>'уруг олди-берди'!I30/1000</f>
        <v>890480.78200000001</v>
      </c>
    </row>
    <row r="28" spans="1:4">
      <c r="A28" s="249" t="s">
        <v>162</v>
      </c>
      <c r="B28" s="250"/>
      <c r="C28" s="250"/>
    </row>
    <row r="29" spans="1:4">
      <c r="A29" s="249" t="s">
        <v>163</v>
      </c>
      <c r="B29" s="250"/>
      <c r="C29" s="250"/>
    </row>
    <row r="30" spans="1:4">
      <c r="A30" s="249" t="s">
        <v>394</v>
      </c>
      <c r="B30" s="250"/>
      <c r="C30" s="250"/>
    </row>
    <row r="31" spans="1:4">
      <c r="A31" s="249" t="s">
        <v>395</v>
      </c>
      <c r="B31" s="250">
        <f>'уруг хуж'!H27/1000</f>
        <v>625.58600000000001</v>
      </c>
      <c r="C31" s="250">
        <f>'уруг хуж'!I27/1000</f>
        <v>4057218.3509999998</v>
      </c>
      <c r="D31" s="211">
        <f t="shared" si="0"/>
        <v>6485.468586253528</v>
      </c>
    </row>
    <row r="32" spans="1:4">
      <c r="A32" s="249" t="s">
        <v>555</v>
      </c>
      <c r="B32" s="250"/>
      <c r="C32" s="250"/>
    </row>
    <row r="33" spans="1:8">
      <c r="A33" s="249" t="s">
        <v>396</v>
      </c>
      <c r="B33" s="250">
        <v>113.5</v>
      </c>
      <c r="C33" s="250">
        <v>158615</v>
      </c>
      <c r="D33" s="211">
        <f t="shared" si="0"/>
        <v>1397.4889867841409</v>
      </c>
    </row>
    <row r="34" spans="1:8">
      <c r="A34" s="249" t="s">
        <v>397</v>
      </c>
      <c r="B34" s="250"/>
      <c r="C34" s="250"/>
    </row>
    <row r="35" spans="1:8">
      <c r="A35" s="249" t="s">
        <v>510</v>
      </c>
      <c r="B35" s="250"/>
      <c r="C35" s="250"/>
    </row>
    <row r="36" spans="1:8">
      <c r="A36" s="249" t="s">
        <v>511</v>
      </c>
      <c r="B36" s="250"/>
      <c r="C36" s="250"/>
    </row>
    <row r="37" spans="1:8" s="256" customFormat="1">
      <c r="A37" s="254" t="s">
        <v>218</v>
      </c>
      <c r="B37" s="255">
        <f>SUM(B23:B36)-B32</f>
        <v>2458.9110000000001</v>
      </c>
      <c r="C37" s="255">
        <f>SUM(C23:C36)-C32</f>
        <v>9612743.5419999994</v>
      </c>
    </row>
    <row r="38" spans="1:8">
      <c r="A38" s="249"/>
      <c r="B38" s="250"/>
      <c r="C38" s="250"/>
    </row>
    <row r="39" spans="1:8">
      <c r="A39" s="249" t="s">
        <v>184</v>
      </c>
      <c r="B39" s="250" t="e">
        <f>B8+B21-B37</f>
        <v>#REF!</v>
      </c>
      <c r="C39" s="250" t="e">
        <f>C8+C21-C37</f>
        <v>#REF!</v>
      </c>
      <c r="H39" s="257"/>
    </row>
    <row r="40" spans="1:8">
      <c r="A40" s="249" t="s">
        <v>155</v>
      </c>
      <c r="B40" s="250">
        <f>B9+B13+B15+B17+B18-B26-B28-B30-B31-B35</f>
        <v>100.13200000000006</v>
      </c>
      <c r="C40" s="250">
        <f>C9+C13+C15+C17+C18-C26-C28-C30-C31-C35</f>
        <v>675047.81399999931</v>
      </c>
      <c r="D40" s="211">
        <f>C40/B40</f>
        <v>6741.5792553828833</v>
      </c>
      <c r="H40" s="257"/>
    </row>
    <row r="41" spans="1:8">
      <c r="A41" s="251" t="s">
        <v>579</v>
      </c>
      <c r="B41" s="250" t="e">
        <f>+B10+B11+B12+B14+B16+B19+B20-B24-B23-B25-B27-B29-B33-B34</f>
        <v>#REF!</v>
      </c>
      <c r="C41" s="250" t="e">
        <f>+C10+C11+C12+C14+C16+C19+C20-C24-C23-C25-C27-C29-C33-C34</f>
        <v>#REF!</v>
      </c>
      <c r="D41" s="257"/>
    </row>
    <row r="43" spans="1:8">
      <c r="A43" s="75" t="s">
        <v>552</v>
      </c>
      <c r="C43" s="258"/>
    </row>
    <row r="44" spans="1:8" ht="24" customHeight="1">
      <c r="A44" s="75" t="s">
        <v>522</v>
      </c>
      <c r="B44" s="257"/>
    </row>
    <row r="45" spans="1:8" ht="24" customHeight="1">
      <c r="A45" s="75" t="s">
        <v>140</v>
      </c>
    </row>
  </sheetData>
  <mergeCells count="4">
    <mergeCell ref="A2:C2"/>
    <mergeCell ref="A3:C3"/>
    <mergeCell ref="A5:A7"/>
    <mergeCell ref="B5:C5"/>
  </mergeCells>
  <phoneticPr fontId="5" type="noConversion"/>
  <pageMargins left="0.8" right="0.19685039370078741" top="0.41" bottom="0.41" header="0.2" footer="0.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32">
    <tabColor rgb="FF00B0F0"/>
  </sheetPr>
  <dimension ref="A1:I35"/>
  <sheetViews>
    <sheetView workbookViewId="0"/>
  </sheetViews>
  <sheetFormatPr defaultColWidth="9.109375" defaultRowHeight="13.8"/>
  <cols>
    <col min="1" max="1" width="4.6640625" style="74" customWidth="1"/>
    <col min="2" max="2" width="32.88671875" style="74" customWidth="1"/>
    <col min="3" max="3" width="11.44140625" style="74" customWidth="1"/>
    <col min="4" max="4" width="16.44140625" style="74" customWidth="1"/>
    <col min="5" max="5" width="14.5546875" style="74" customWidth="1"/>
    <col min="6" max="6" width="17.44140625" style="74" customWidth="1"/>
    <col min="7" max="7" width="10.6640625" style="74" customWidth="1"/>
    <col min="8" max="8" width="12.88671875" style="74" customWidth="1"/>
    <col min="9" max="9" width="15" style="74" customWidth="1"/>
    <col min="10" max="12" width="0" style="74" hidden="1" customWidth="1"/>
    <col min="13" max="16384" width="9.109375" style="74"/>
  </cols>
  <sheetData>
    <row r="1" spans="1:9" s="210" customFormat="1" ht="10.199999999999999">
      <c r="A1" s="243"/>
      <c r="B1" s="243"/>
      <c r="C1" s="243"/>
      <c r="D1" s="243"/>
      <c r="E1" s="243"/>
      <c r="F1" s="243"/>
      <c r="G1" s="243"/>
      <c r="H1" s="243"/>
      <c r="I1" s="243"/>
    </row>
    <row r="2" spans="1:9" s="211" customFormat="1" ht="33" customHeight="1">
      <c r="A2" s="359" t="s">
        <v>145</v>
      </c>
      <c r="B2" s="359"/>
      <c r="C2" s="359"/>
      <c r="D2" s="359"/>
      <c r="E2" s="359"/>
      <c r="F2" s="359"/>
      <c r="G2" s="359"/>
      <c r="H2" s="359"/>
      <c r="I2" s="359"/>
    </row>
    <row r="3" spans="1:9" s="227" customFormat="1" ht="18">
      <c r="A3" s="367" t="s">
        <v>536</v>
      </c>
      <c r="B3" s="367"/>
      <c r="C3" s="367"/>
      <c r="D3" s="367"/>
      <c r="E3" s="367"/>
      <c r="F3" s="367"/>
      <c r="G3" s="367"/>
      <c r="H3" s="367"/>
      <c r="I3" s="367"/>
    </row>
    <row r="4" spans="1:9" s="210" customFormat="1" ht="10.199999999999999">
      <c r="A4" s="243"/>
      <c r="B4" s="243"/>
      <c r="C4" s="243"/>
      <c r="D4" s="243"/>
      <c r="E4" s="243"/>
      <c r="F4" s="243"/>
      <c r="G4" s="243"/>
      <c r="H4" s="243"/>
      <c r="I4" s="243"/>
    </row>
    <row r="5" spans="1:9" ht="33.75" customHeight="1">
      <c r="A5" s="228" t="s">
        <v>302</v>
      </c>
      <c r="B5" s="229" t="s">
        <v>111</v>
      </c>
      <c r="C5" s="229" t="s">
        <v>112</v>
      </c>
      <c r="D5" s="229" t="s">
        <v>113</v>
      </c>
      <c r="E5" s="229" t="s">
        <v>114</v>
      </c>
      <c r="F5" s="229" t="s">
        <v>115</v>
      </c>
      <c r="G5" s="229" t="s">
        <v>116</v>
      </c>
      <c r="H5" s="229" t="s">
        <v>117</v>
      </c>
      <c r="I5" s="229" t="s">
        <v>118</v>
      </c>
    </row>
    <row r="6" spans="1:9">
      <c r="A6" s="240"/>
      <c r="B6" s="241" t="s">
        <v>128</v>
      </c>
      <c r="C6" s="240"/>
      <c r="D6" s="240"/>
      <c r="E6" s="240"/>
      <c r="F6" s="240"/>
      <c r="G6" s="242"/>
      <c r="H6" s="242"/>
      <c r="I6" s="242"/>
    </row>
    <row r="7" spans="1:9">
      <c r="A7" s="228">
        <v>1</v>
      </c>
      <c r="B7" s="235" t="s">
        <v>132</v>
      </c>
      <c r="C7" s="228" t="s">
        <v>119</v>
      </c>
      <c r="D7" s="228" t="s">
        <v>130</v>
      </c>
      <c r="E7" s="228" t="s">
        <v>134</v>
      </c>
      <c r="F7" s="228" t="s">
        <v>143</v>
      </c>
      <c r="G7" s="236">
        <v>4400</v>
      </c>
      <c r="H7" s="236">
        <v>4621</v>
      </c>
      <c r="I7" s="236">
        <v>38357327</v>
      </c>
    </row>
    <row r="8" spans="1:9">
      <c r="A8" s="228">
        <f>A7+1</f>
        <v>2</v>
      </c>
      <c r="B8" s="235" t="s">
        <v>135</v>
      </c>
      <c r="C8" s="228" t="s">
        <v>119</v>
      </c>
      <c r="D8" s="228" t="s">
        <v>130</v>
      </c>
      <c r="E8" s="228" t="s">
        <v>134</v>
      </c>
      <c r="F8" s="228" t="s">
        <v>131</v>
      </c>
      <c r="G8" s="236">
        <v>2500</v>
      </c>
      <c r="H8" s="236">
        <v>2598</v>
      </c>
      <c r="I8" s="236">
        <v>21020847</v>
      </c>
    </row>
    <row r="9" spans="1:9">
      <c r="A9" s="228">
        <f>A8+1</f>
        <v>3</v>
      </c>
      <c r="B9" s="235" t="s">
        <v>136</v>
      </c>
      <c r="C9" s="228" t="s">
        <v>119</v>
      </c>
      <c r="D9" s="228" t="s">
        <v>141</v>
      </c>
      <c r="E9" s="228" t="s">
        <v>120</v>
      </c>
      <c r="F9" s="228" t="s">
        <v>121</v>
      </c>
      <c r="G9" s="236">
        <v>59300</v>
      </c>
      <c r="H9" s="236">
        <v>61089</v>
      </c>
      <c r="I9" s="236">
        <v>253885823</v>
      </c>
    </row>
    <row r="10" spans="1:9">
      <c r="A10" s="228">
        <f>A9+1</f>
        <v>4</v>
      </c>
      <c r="B10" s="235" t="s">
        <v>136</v>
      </c>
      <c r="C10" s="228" t="s">
        <v>119</v>
      </c>
      <c r="D10" s="228" t="s">
        <v>142</v>
      </c>
      <c r="E10" s="228" t="s">
        <v>120</v>
      </c>
      <c r="F10" s="228" t="s">
        <v>121</v>
      </c>
      <c r="G10" s="236">
        <v>157710</v>
      </c>
      <c r="H10" s="236">
        <v>162291</v>
      </c>
      <c r="I10" s="236">
        <v>668194080</v>
      </c>
    </row>
    <row r="11" spans="1:9">
      <c r="A11" s="228">
        <f>A10+1</f>
        <v>5</v>
      </c>
      <c r="B11" s="235" t="s">
        <v>136</v>
      </c>
      <c r="C11" s="228" t="s">
        <v>119</v>
      </c>
      <c r="D11" s="228" t="s">
        <v>130</v>
      </c>
      <c r="E11" s="228" t="s">
        <v>120</v>
      </c>
      <c r="F11" s="228" t="s">
        <v>121</v>
      </c>
      <c r="G11" s="236">
        <v>234870</v>
      </c>
      <c r="H11" s="236">
        <v>241955</v>
      </c>
      <c r="I11" s="236">
        <v>1005564738</v>
      </c>
    </row>
    <row r="12" spans="1:9" s="75" customFormat="1">
      <c r="A12" s="228" t="s">
        <v>124</v>
      </c>
      <c r="B12" s="237" t="s">
        <v>125</v>
      </c>
      <c r="C12" s="229" t="s">
        <v>124</v>
      </c>
      <c r="D12" s="229" t="s">
        <v>124</v>
      </c>
      <c r="E12" s="229" t="s">
        <v>124</v>
      </c>
      <c r="F12" s="229" t="s">
        <v>124</v>
      </c>
      <c r="G12" s="238">
        <f>G7+G8</f>
        <v>6900</v>
      </c>
      <c r="H12" s="238">
        <f>H7+H8</f>
        <v>7219</v>
      </c>
      <c r="I12" s="238">
        <f>I7+I8</f>
        <v>59378174</v>
      </c>
    </row>
    <row r="13" spans="1:9">
      <c r="A13" s="228" t="s">
        <v>124</v>
      </c>
      <c r="B13" s="237" t="s">
        <v>126</v>
      </c>
      <c r="C13" s="229" t="s">
        <v>124</v>
      </c>
      <c r="D13" s="229" t="s">
        <v>124</v>
      </c>
      <c r="E13" s="229" t="s">
        <v>124</v>
      </c>
      <c r="F13" s="229" t="s">
        <v>124</v>
      </c>
      <c r="G13" s="238">
        <f>G9+G10+G11</f>
        <v>451880</v>
      </c>
      <c r="H13" s="238">
        <f>H9+H10+H11</f>
        <v>465335</v>
      </c>
      <c r="I13" s="238">
        <f>I9+I10+I11</f>
        <v>1927644641</v>
      </c>
    </row>
    <row r="14" spans="1:9">
      <c r="A14" s="228" t="s">
        <v>124</v>
      </c>
      <c r="B14" s="237" t="s">
        <v>127</v>
      </c>
      <c r="C14" s="229" t="s">
        <v>124</v>
      </c>
      <c r="D14" s="229" t="s">
        <v>124</v>
      </c>
      <c r="E14" s="229" t="s">
        <v>124</v>
      </c>
      <c r="F14" s="229" t="s">
        <v>124</v>
      </c>
      <c r="G14" s="238">
        <f>SUM(G12:G13)</f>
        <v>458780</v>
      </c>
      <c r="H14" s="238">
        <f>SUM(H12:H13)</f>
        <v>472554</v>
      </c>
      <c r="I14" s="238">
        <f>SUM(I12:I13)</f>
        <v>1987022815</v>
      </c>
    </row>
    <row r="15" spans="1:9">
      <c r="A15" s="230"/>
      <c r="B15" s="231" t="s">
        <v>137</v>
      </c>
      <c r="C15" s="232"/>
      <c r="D15" s="232"/>
      <c r="E15" s="232"/>
      <c r="F15" s="232"/>
      <c r="G15" s="233"/>
      <c r="H15" s="233"/>
      <c r="I15" s="234"/>
    </row>
    <row r="16" spans="1:9">
      <c r="A16" s="228">
        <v>1</v>
      </c>
      <c r="B16" s="235" t="s">
        <v>129</v>
      </c>
      <c r="C16" s="228" t="s">
        <v>119</v>
      </c>
      <c r="D16" s="228" t="s">
        <v>130</v>
      </c>
      <c r="E16" s="228" t="s">
        <v>120</v>
      </c>
      <c r="F16" s="228" t="s">
        <v>121</v>
      </c>
      <c r="G16" s="236">
        <v>134240</v>
      </c>
      <c r="H16" s="236">
        <v>138829</v>
      </c>
      <c r="I16" s="236">
        <f>142531984+607793087</f>
        <v>750325071</v>
      </c>
    </row>
    <row r="17" spans="1:9">
      <c r="A17" s="228">
        <f t="shared" ref="A17:A28" si="0">A16+1</f>
        <v>2</v>
      </c>
      <c r="B17" s="235" t="s">
        <v>129</v>
      </c>
      <c r="C17" s="228" t="s">
        <v>119</v>
      </c>
      <c r="D17" s="228" t="s">
        <v>130</v>
      </c>
      <c r="E17" s="228" t="s">
        <v>122</v>
      </c>
      <c r="F17" s="228" t="s">
        <v>143</v>
      </c>
      <c r="G17" s="236">
        <v>24020</v>
      </c>
      <c r="H17" s="236">
        <v>25120</v>
      </c>
      <c r="I17" s="236">
        <v>195972399</v>
      </c>
    </row>
    <row r="18" spans="1:9">
      <c r="A18" s="228">
        <f t="shared" si="0"/>
        <v>3</v>
      </c>
      <c r="B18" s="235" t="s">
        <v>129</v>
      </c>
      <c r="C18" s="228" t="s">
        <v>119</v>
      </c>
      <c r="D18" s="228" t="s">
        <v>130</v>
      </c>
      <c r="E18" s="228" t="s">
        <v>120</v>
      </c>
      <c r="F18" s="228" t="s">
        <v>143</v>
      </c>
      <c r="G18" s="236">
        <v>109850</v>
      </c>
      <c r="H18" s="236">
        <v>115293</v>
      </c>
      <c r="I18" s="236">
        <f>233555316+448510924</f>
        <v>682066240</v>
      </c>
    </row>
    <row r="19" spans="1:9">
      <c r="A19" s="228">
        <f t="shared" si="0"/>
        <v>4</v>
      </c>
      <c r="B19" s="235" t="s">
        <v>129</v>
      </c>
      <c r="C19" s="228" t="s">
        <v>119</v>
      </c>
      <c r="D19" s="228" t="s">
        <v>130</v>
      </c>
      <c r="E19" s="228" t="s">
        <v>120</v>
      </c>
      <c r="F19" s="228" t="s">
        <v>131</v>
      </c>
      <c r="G19" s="236">
        <v>79870</v>
      </c>
      <c r="H19" s="236">
        <v>83728</v>
      </c>
      <c r="I19" s="236">
        <v>488967166</v>
      </c>
    </row>
    <row r="20" spans="1:9">
      <c r="A20" s="228">
        <f t="shared" si="0"/>
        <v>5</v>
      </c>
      <c r="B20" s="235" t="s">
        <v>129</v>
      </c>
      <c r="C20" s="228" t="s">
        <v>119</v>
      </c>
      <c r="D20" s="228" t="s">
        <v>144</v>
      </c>
      <c r="E20" s="228" t="s">
        <v>134</v>
      </c>
      <c r="F20" s="228" t="s">
        <v>143</v>
      </c>
      <c r="G20" s="236">
        <v>3610</v>
      </c>
      <c r="H20" s="236">
        <v>3787</v>
      </c>
      <c r="I20" s="236">
        <v>36106958</v>
      </c>
    </row>
    <row r="21" spans="1:9">
      <c r="A21" s="228">
        <f t="shared" si="0"/>
        <v>6</v>
      </c>
      <c r="B21" s="235" t="s">
        <v>139</v>
      </c>
      <c r="C21" s="228" t="s">
        <v>119</v>
      </c>
      <c r="D21" s="228" t="s">
        <v>123</v>
      </c>
      <c r="E21" s="228" t="s">
        <v>134</v>
      </c>
      <c r="F21" s="228" t="s">
        <v>121</v>
      </c>
      <c r="G21" s="236">
        <v>15490</v>
      </c>
      <c r="H21" s="236">
        <v>16095</v>
      </c>
      <c r="I21" s="236">
        <v>140155711</v>
      </c>
    </row>
    <row r="22" spans="1:9">
      <c r="A22" s="228">
        <f t="shared" si="0"/>
        <v>7</v>
      </c>
      <c r="B22" s="235" t="s">
        <v>139</v>
      </c>
      <c r="C22" s="228" t="s">
        <v>119</v>
      </c>
      <c r="D22" s="228" t="s">
        <v>133</v>
      </c>
      <c r="E22" s="228" t="s">
        <v>122</v>
      </c>
      <c r="F22" s="228" t="s">
        <v>143</v>
      </c>
      <c r="G22" s="236">
        <v>20220</v>
      </c>
      <c r="H22" s="236">
        <v>21191</v>
      </c>
      <c r="I22" s="236">
        <v>15752686</v>
      </c>
    </row>
    <row r="23" spans="1:9">
      <c r="A23" s="228">
        <f t="shared" si="0"/>
        <v>8</v>
      </c>
      <c r="B23" s="235" t="s">
        <v>139</v>
      </c>
      <c r="C23" s="228" t="s">
        <v>119</v>
      </c>
      <c r="D23" s="228" t="s">
        <v>130</v>
      </c>
      <c r="E23" s="228" t="s">
        <v>120</v>
      </c>
      <c r="F23" s="228" t="s">
        <v>143</v>
      </c>
      <c r="G23" s="236">
        <v>73140</v>
      </c>
      <c r="H23" s="236">
        <v>76679</v>
      </c>
      <c r="I23" s="236">
        <v>453628210</v>
      </c>
    </row>
    <row r="24" spans="1:9">
      <c r="A24" s="228">
        <f t="shared" si="0"/>
        <v>9</v>
      </c>
      <c r="B24" s="235" t="s">
        <v>139</v>
      </c>
      <c r="C24" s="228" t="s">
        <v>119</v>
      </c>
      <c r="D24" s="228" t="s">
        <v>144</v>
      </c>
      <c r="E24" s="228" t="s">
        <v>134</v>
      </c>
      <c r="F24" s="228" t="s">
        <v>143</v>
      </c>
      <c r="G24" s="236">
        <v>1140</v>
      </c>
      <c r="H24" s="236">
        <v>1195</v>
      </c>
      <c r="I24" s="236">
        <v>11393667</v>
      </c>
    </row>
    <row r="25" spans="1:9">
      <c r="A25" s="228">
        <f t="shared" si="0"/>
        <v>10</v>
      </c>
      <c r="B25" s="235" t="s">
        <v>139</v>
      </c>
      <c r="C25" s="228" t="s">
        <v>119</v>
      </c>
      <c r="D25" s="228" t="s">
        <v>144</v>
      </c>
      <c r="E25" s="228" t="s">
        <v>122</v>
      </c>
      <c r="F25" s="228" t="s">
        <v>143</v>
      </c>
      <c r="G25" s="236">
        <v>32260</v>
      </c>
      <c r="H25" s="236">
        <v>34243</v>
      </c>
      <c r="I25" s="236">
        <v>263252616</v>
      </c>
    </row>
    <row r="26" spans="1:9">
      <c r="A26" s="228">
        <f t="shared" si="0"/>
        <v>11</v>
      </c>
      <c r="B26" s="235" t="s">
        <v>139</v>
      </c>
      <c r="C26" s="228" t="s">
        <v>119</v>
      </c>
      <c r="D26" s="228" t="s">
        <v>144</v>
      </c>
      <c r="E26" s="228" t="s">
        <v>120</v>
      </c>
      <c r="F26" s="228" t="s">
        <v>143</v>
      </c>
      <c r="G26" s="236">
        <v>7430</v>
      </c>
      <c r="H26" s="236">
        <v>7886</v>
      </c>
      <c r="I26" s="236">
        <v>46062986</v>
      </c>
    </row>
    <row r="27" spans="1:9">
      <c r="A27" s="228">
        <f t="shared" si="0"/>
        <v>12</v>
      </c>
      <c r="B27" s="235" t="s">
        <v>139</v>
      </c>
      <c r="C27" s="228" t="s">
        <v>119</v>
      </c>
      <c r="D27" s="228" t="s">
        <v>142</v>
      </c>
      <c r="E27" s="228" t="s">
        <v>120</v>
      </c>
      <c r="F27" s="228" t="s">
        <v>138</v>
      </c>
      <c r="G27" s="236">
        <v>3170</v>
      </c>
      <c r="H27" s="236">
        <v>3329</v>
      </c>
      <c r="I27" s="236">
        <v>16506866</v>
      </c>
    </row>
    <row r="28" spans="1:9">
      <c r="A28" s="228">
        <f t="shared" si="0"/>
        <v>13</v>
      </c>
      <c r="B28" s="235" t="s">
        <v>136</v>
      </c>
      <c r="C28" s="228" t="s">
        <v>119</v>
      </c>
      <c r="D28" s="228" t="s">
        <v>141</v>
      </c>
      <c r="E28" s="228" t="s">
        <v>120</v>
      </c>
      <c r="F28" s="228" t="s">
        <v>138</v>
      </c>
      <c r="G28" s="236">
        <v>7190</v>
      </c>
      <c r="H28" s="236">
        <v>7550</v>
      </c>
      <c r="I28" s="236">
        <v>37729215</v>
      </c>
    </row>
    <row r="29" spans="1:9" s="75" customFormat="1">
      <c r="A29" s="228" t="s">
        <v>124</v>
      </c>
      <c r="B29" s="237" t="s">
        <v>125</v>
      </c>
      <c r="C29" s="229" t="s">
        <v>124</v>
      </c>
      <c r="D29" s="229" t="s">
        <v>124</v>
      </c>
      <c r="E29" s="229" t="s">
        <v>124</v>
      </c>
      <c r="F29" s="229" t="s">
        <v>124</v>
      </c>
      <c r="G29" s="238">
        <f>G17+G18+G19+G20+G22+G23+G24+G25+G26+G27+G28</f>
        <v>361900</v>
      </c>
      <c r="H29" s="238">
        <f>H17+H18+H19+H20+H22+H23+H24+H25+H26+H27+H28</f>
        <v>380001</v>
      </c>
      <c r="I29" s="238">
        <f>I17+I18+I19+I20+I22+I23+I24+I25+I26+I27+I28</f>
        <v>2247439009</v>
      </c>
    </row>
    <row r="30" spans="1:9">
      <c r="A30" s="228" t="s">
        <v>124</v>
      </c>
      <c r="B30" s="237" t="s">
        <v>126</v>
      </c>
      <c r="C30" s="229" t="s">
        <v>124</v>
      </c>
      <c r="D30" s="229" t="s">
        <v>124</v>
      </c>
      <c r="E30" s="229" t="s">
        <v>124</v>
      </c>
      <c r="F30" s="229" t="s">
        <v>124</v>
      </c>
      <c r="G30" s="238">
        <f>G16+G21</f>
        <v>149730</v>
      </c>
      <c r="H30" s="238">
        <f>H16+H21</f>
        <v>154924</v>
      </c>
      <c r="I30" s="238">
        <f>I16+I21</f>
        <v>890480782</v>
      </c>
    </row>
    <row r="31" spans="1:9">
      <c r="A31" s="228" t="s">
        <v>124</v>
      </c>
      <c r="B31" s="237" t="s">
        <v>127</v>
      </c>
      <c r="C31" s="229" t="s">
        <v>124</v>
      </c>
      <c r="D31" s="229" t="s">
        <v>124</v>
      </c>
      <c r="E31" s="229" t="s">
        <v>124</v>
      </c>
      <c r="F31" s="229" t="s">
        <v>124</v>
      </c>
      <c r="G31" s="238">
        <f>SUM(G29:G30)</f>
        <v>511630</v>
      </c>
      <c r="H31" s="238">
        <f>SUM(H29:H30)</f>
        <v>534925</v>
      </c>
      <c r="I31" s="238">
        <f>SUM(I29:I30)</f>
        <v>3137919791</v>
      </c>
    </row>
    <row r="33" spans="1:9" s="75" customFormat="1">
      <c r="A33" s="74"/>
      <c r="B33" s="75" t="s">
        <v>552</v>
      </c>
      <c r="H33" s="239"/>
      <c r="I33" s="239"/>
    </row>
    <row r="34" spans="1:9" s="75" customFormat="1" ht="20.25" customHeight="1">
      <c r="A34" s="74"/>
      <c r="B34" s="75" t="s">
        <v>522</v>
      </c>
    </row>
    <row r="35" spans="1:9" s="75" customFormat="1" ht="20.25" customHeight="1">
      <c r="A35" s="74"/>
      <c r="B35" s="75" t="s">
        <v>140</v>
      </c>
    </row>
  </sheetData>
  <mergeCells count="2">
    <mergeCell ref="A2:I2"/>
    <mergeCell ref="A3:I3"/>
  </mergeCells>
  <phoneticPr fontId="5" type="noConversion"/>
  <pageMargins left="0.73" right="0.19685039370078741" top="0.32" bottom="0.23622047244094491" header="0.19685039370078741" footer="0.19685039370078741"/>
  <pageSetup paperSize="9" orientation="landscape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33">
    <tabColor rgb="FF00B0F0"/>
  </sheetPr>
  <dimension ref="A1:I31"/>
  <sheetViews>
    <sheetView topLeftCell="A10" workbookViewId="0"/>
  </sheetViews>
  <sheetFormatPr defaultColWidth="9.109375" defaultRowHeight="13.8"/>
  <cols>
    <col min="1" max="1" width="4.6640625" style="74" customWidth="1"/>
    <col min="2" max="2" width="32.88671875" style="74" customWidth="1"/>
    <col min="3" max="3" width="7.6640625" style="74" customWidth="1"/>
    <col min="4" max="4" width="12.6640625" style="74" customWidth="1"/>
    <col min="5" max="5" width="11.44140625" style="74" customWidth="1"/>
    <col min="6" max="6" width="19" style="74" customWidth="1"/>
    <col min="7" max="7" width="14.5546875" style="74" customWidth="1"/>
    <col min="8" max="8" width="12.88671875" style="74" customWidth="1"/>
    <col min="9" max="9" width="15" style="74" customWidth="1"/>
    <col min="10" max="12" width="0" style="74" hidden="1" customWidth="1"/>
    <col min="13" max="16384" width="9.109375" style="74"/>
  </cols>
  <sheetData>
    <row r="1" spans="1:9" s="210" customFormat="1" ht="10.199999999999999">
      <c r="A1" s="243"/>
      <c r="B1" s="243"/>
      <c r="C1" s="243"/>
      <c r="D1" s="243"/>
      <c r="E1" s="243"/>
      <c r="F1" s="243"/>
      <c r="G1" s="243"/>
      <c r="H1" s="243"/>
      <c r="I1" s="243"/>
    </row>
    <row r="2" spans="1:9" s="211" customFormat="1" ht="15.6">
      <c r="A2" s="359" t="s">
        <v>146</v>
      </c>
      <c r="B2" s="359"/>
      <c r="C2" s="359"/>
      <c r="D2" s="359"/>
      <c r="E2" s="359"/>
      <c r="F2" s="359"/>
      <c r="G2" s="359"/>
      <c r="H2" s="359"/>
      <c r="I2" s="359"/>
    </row>
    <row r="3" spans="1:9" s="227" customFormat="1" ht="18">
      <c r="A3" s="367" t="s">
        <v>536</v>
      </c>
      <c r="B3" s="367"/>
      <c r="C3" s="367"/>
      <c r="D3" s="367"/>
      <c r="E3" s="367"/>
      <c r="F3" s="367"/>
      <c r="G3" s="367"/>
      <c r="H3" s="367"/>
      <c r="I3" s="367"/>
    </row>
    <row r="4" spans="1:9" s="210" customFormat="1" ht="10.199999999999999">
      <c r="A4" s="243"/>
      <c r="B4" s="243"/>
      <c r="C4" s="243"/>
      <c r="D4" s="243"/>
      <c r="E4" s="243"/>
      <c r="F4" s="243"/>
      <c r="G4" s="243"/>
      <c r="H4" s="243"/>
      <c r="I4" s="243"/>
    </row>
    <row r="5" spans="1:9" ht="33.75" customHeight="1">
      <c r="A5" s="369" t="s">
        <v>302</v>
      </c>
      <c r="B5" s="368" t="s">
        <v>147</v>
      </c>
      <c r="C5" s="368" t="s">
        <v>148</v>
      </c>
      <c r="D5" s="368"/>
      <c r="E5" s="368" t="s">
        <v>112</v>
      </c>
      <c r="F5" s="368" t="s">
        <v>113</v>
      </c>
      <c r="G5" s="368" t="s">
        <v>114</v>
      </c>
      <c r="H5" s="368" t="s">
        <v>117</v>
      </c>
      <c r="I5" s="368" t="s">
        <v>118</v>
      </c>
    </row>
    <row r="6" spans="1:9" ht="33.75" customHeight="1">
      <c r="A6" s="369"/>
      <c r="B6" s="368"/>
      <c r="C6" s="229" t="s">
        <v>302</v>
      </c>
      <c r="D6" s="229" t="s">
        <v>149</v>
      </c>
      <c r="E6" s="368"/>
      <c r="F6" s="368"/>
      <c r="G6" s="368"/>
      <c r="H6" s="368"/>
      <c r="I6" s="368"/>
    </row>
    <row r="7" spans="1:9">
      <c r="A7" s="228">
        <v>1</v>
      </c>
      <c r="B7" s="235" t="s">
        <v>150</v>
      </c>
      <c r="C7" s="244">
        <v>12</v>
      </c>
      <c r="D7" s="245">
        <v>43524</v>
      </c>
      <c r="E7" s="228" t="s">
        <v>119</v>
      </c>
      <c r="F7" s="228" t="s">
        <v>144</v>
      </c>
      <c r="G7" s="228" t="s">
        <v>122</v>
      </c>
      <c r="H7" s="236">
        <v>44334</v>
      </c>
      <c r="I7" s="236">
        <v>340829994</v>
      </c>
    </row>
    <row r="8" spans="1:9" ht="27.6">
      <c r="A8" s="228">
        <f>A7+1</f>
        <v>2</v>
      </c>
      <c r="B8" s="235" t="s">
        <v>150</v>
      </c>
      <c r="C8" s="244">
        <v>12</v>
      </c>
      <c r="D8" s="245">
        <v>43524</v>
      </c>
      <c r="E8" s="228" t="s">
        <v>119</v>
      </c>
      <c r="F8" s="228" t="s">
        <v>151</v>
      </c>
      <c r="G8" s="228" t="s">
        <v>120</v>
      </c>
      <c r="H8" s="236">
        <v>178</v>
      </c>
      <c r="I8" s="236">
        <v>1025430</v>
      </c>
    </row>
    <row r="9" spans="1:9">
      <c r="A9" s="228">
        <f t="shared" ref="A9:A26" si="0">A8+1</f>
        <v>3</v>
      </c>
      <c r="B9" s="235" t="s">
        <v>150</v>
      </c>
      <c r="C9" s="244">
        <v>13</v>
      </c>
      <c r="D9" s="245">
        <v>43531</v>
      </c>
      <c r="E9" s="228" t="s">
        <v>119</v>
      </c>
      <c r="F9" s="228" t="s">
        <v>144</v>
      </c>
      <c r="G9" s="228" t="s">
        <v>134</v>
      </c>
      <c r="H9" s="236">
        <v>20516</v>
      </c>
      <c r="I9" s="236">
        <v>195608756</v>
      </c>
    </row>
    <row r="10" spans="1:9" ht="27.6">
      <c r="A10" s="228">
        <f t="shared" si="0"/>
        <v>4</v>
      </c>
      <c r="B10" s="235" t="s">
        <v>150</v>
      </c>
      <c r="C10" s="244">
        <v>13</v>
      </c>
      <c r="D10" s="245">
        <v>43531</v>
      </c>
      <c r="E10" s="228" t="s">
        <v>119</v>
      </c>
      <c r="F10" s="228" t="s">
        <v>151</v>
      </c>
      <c r="G10" s="228" t="s">
        <v>120</v>
      </c>
      <c r="H10" s="236">
        <v>55347</v>
      </c>
      <c r="I10" s="236">
        <v>318845322</v>
      </c>
    </row>
    <row r="11" spans="1:9">
      <c r="A11" s="228">
        <f t="shared" si="0"/>
        <v>5</v>
      </c>
      <c r="B11" s="235" t="s">
        <v>150</v>
      </c>
      <c r="C11" s="244">
        <v>13</v>
      </c>
      <c r="D11" s="245">
        <v>43531</v>
      </c>
      <c r="E11" s="228" t="s">
        <v>119</v>
      </c>
      <c r="F11" s="228" t="s">
        <v>144</v>
      </c>
      <c r="G11" s="228" t="s">
        <v>122</v>
      </c>
      <c r="H11" s="236">
        <v>42128</v>
      </c>
      <c r="I11" s="236">
        <v>323870754</v>
      </c>
    </row>
    <row r="12" spans="1:9">
      <c r="A12" s="228">
        <f t="shared" si="0"/>
        <v>6</v>
      </c>
      <c r="B12" s="235" t="s">
        <v>150</v>
      </c>
      <c r="C12" s="244">
        <v>13</v>
      </c>
      <c r="D12" s="245">
        <v>43531</v>
      </c>
      <c r="E12" s="228" t="s">
        <v>119</v>
      </c>
      <c r="F12" s="228" t="s">
        <v>144</v>
      </c>
      <c r="G12" s="228" t="s">
        <v>120</v>
      </c>
      <c r="H12" s="236">
        <v>46262</v>
      </c>
      <c r="I12" s="236">
        <v>270221385</v>
      </c>
    </row>
    <row r="13" spans="1:9">
      <c r="A13" s="228">
        <f t="shared" si="0"/>
        <v>7</v>
      </c>
      <c r="B13" s="235" t="s">
        <v>150</v>
      </c>
      <c r="C13" s="244">
        <v>14</v>
      </c>
      <c r="D13" s="245">
        <v>43562</v>
      </c>
      <c r="E13" s="228" t="s">
        <v>119</v>
      </c>
      <c r="F13" s="228" t="s">
        <v>130</v>
      </c>
      <c r="G13" s="228" t="s">
        <v>122</v>
      </c>
      <c r="H13" s="236">
        <v>17135</v>
      </c>
      <c r="I13" s="236">
        <v>133677829</v>
      </c>
    </row>
    <row r="14" spans="1:9">
      <c r="A14" s="228">
        <f t="shared" si="0"/>
        <v>8</v>
      </c>
      <c r="B14" s="235" t="s">
        <v>150</v>
      </c>
      <c r="C14" s="244">
        <v>15</v>
      </c>
      <c r="D14" s="245">
        <v>43586</v>
      </c>
      <c r="E14" s="228" t="s">
        <v>119</v>
      </c>
      <c r="F14" s="228" t="s">
        <v>130</v>
      </c>
      <c r="G14" s="228" t="s">
        <v>120</v>
      </c>
      <c r="H14" s="236">
        <v>3927</v>
      </c>
      <c r="I14" s="236">
        <v>23231889</v>
      </c>
    </row>
    <row r="15" spans="1:9">
      <c r="A15" s="228">
        <f t="shared" si="0"/>
        <v>9</v>
      </c>
      <c r="B15" s="235" t="s">
        <v>150</v>
      </c>
      <c r="C15" s="244">
        <v>15</v>
      </c>
      <c r="D15" s="245">
        <v>43586</v>
      </c>
      <c r="E15" s="228" t="s">
        <v>119</v>
      </c>
      <c r="F15" s="228" t="s">
        <v>130</v>
      </c>
      <c r="G15" s="228" t="s">
        <v>122</v>
      </c>
      <c r="H15" s="236">
        <v>6072</v>
      </c>
      <c r="I15" s="236">
        <v>47370398</v>
      </c>
    </row>
    <row r="16" spans="1:9">
      <c r="A16" s="228">
        <f t="shared" si="0"/>
        <v>10</v>
      </c>
      <c r="B16" s="235" t="s">
        <v>150</v>
      </c>
      <c r="C16" s="244">
        <v>15</v>
      </c>
      <c r="D16" s="245">
        <v>43586</v>
      </c>
      <c r="E16" s="228" t="s">
        <v>119</v>
      </c>
      <c r="F16" s="228" t="s">
        <v>130</v>
      </c>
      <c r="G16" s="228" t="s">
        <v>134</v>
      </c>
      <c r="H16" s="236">
        <v>2653</v>
      </c>
      <c r="I16" s="236">
        <v>21465861</v>
      </c>
    </row>
    <row r="17" spans="1:9">
      <c r="A17" s="228">
        <f t="shared" si="0"/>
        <v>11</v>
      </c>
      <c r="B17" s="235" t="s">
        <v>150</v>
      </c>
      <c r="C17" s="244">
        <v>15</v>
      </c>
      <c r="D17" s="245">
        <v>43586</v>
      </c>
      <c r="E17" s="228" t="s">
        <v>119</v>
      </c>
      <c r="F17" s="228" t="s">
        <v>130</v>
      </c>
      <c r="G17" s="228" t="s">
        <v>134</v>
      </c>
      <c r="H17" s="236">
        <v>4595</v>
      </c>
      <c r="I17" s="236">
        <v>38141510</v>
      </c>
    </row>
    <row r="18" spans="1:9">
      <c r="A18" s="228">
        <f t="shared" si="0"/>
        <v>12</v>
      </c>
      <c r="B18" s="235" t="s">
        <v>150</v>
      </c>
      <c r="C18" s="244">
        <v>15</v>
      </c>
      <c r="D18" s="245">
        <v>43586</v>
      </c>
      <c r="E18" s="228" t="s">
        <v>119</v>
      </c>
      <c r="F18" s="228" t="s">
        <v>144</v>
      </c>
      <c r="G18" s="228" t="s">
        <v>152</v>
      </c>
      <c r="H18" s="236">
        <v>2201</v>
      </c>
      <c r="I18" s="236">
        <v>20985322</v>
      </c>
    </row>
    <row r="19" spans="1:9">
      <c r="A19" s="228">
        <f t="shared" si="0"/>
        <v>13</v>
      </c>
      <c r="B19" s="235" t="s">
        <v>150</v>
      </c>
      <c r="C19" s="244">
        <v>15</v>
      </c>
      <c r="D19" s="245">
        <v>43586</v>
      </c>
      <c r="E19" s="228" t="s">
        <v>119</v>
      </c>
      <c r="F19" s="228" t="s">
        <v>144</v>
      </c>
      <c r="G19" s="228" t="s">
        <v>122</v>
      </c>
      <c r="H19" s="236">
        <v>62511</v>
      </c>
      <c r="I19" s="236">
        <v>480570753</v>
      </c>
    </row>
    <row r="20" spans="1:9">
      <c r="A20" s="228">
        <f t="shared" si="0"/>
        <v>14</v>
      </c>
      <c r="B20" s="235" t="s">
        <v>150</v>
      </c>
      <c r="C20" s="244">
        <v>15</v>
      </c>
      <c r="D20" s="245">
        <v>43586</v>
      </c>
      <c r="E20" s="228" t="s">
        <v>119</v>
      </c>
      <c r="F20" s="228" t="s">
        <v>144</v>
      </c>
      <c r="G20" s="228" t="s">
        <v>120</v>
      </c>
      <c r="H20" s="236">
        <v>136561</v>
      </c>
      <c r="I20" s="236">
        <v>797667686</v>
      </c>
    </row>
    <row r="21" spans="1:9">
      <c r="A21" s="228">
        <f t="shared" si="0"/>
        <v>15</v>
      </c>
      <c r="B21" s="235" t="s">
        <v>150</v>
      </c>
      <c r="C21" s="244">
        <v>16</v>
      </c>
      <c r="D21" s="245">
        <v>43616</v>
      </c>
      <c r="E21" s="228" t="s">
        <v>119</v>
      </c>
      <c r="F21" s="228" t="s">
        <v>130</v>
      </c>
      <c r="G21" s="228" t="s">
        <v>122</v>
      </c>
      <c r="H21" s="236">
        <v>15433</v>
      </c>
      <c r="I21" s="236">
        <v>120399762</v>
      </c>
    </row>
    <row r="22" spans="1:9">
      <c r="A22" s="228">
        <f t="shared" si="0"/>
        <v>16</v>
      </c>
      <c r="B22" s="235" t="s">
        <v>150</v>
      </c>
      <c r="C22" s="244">
        <v>16</v>
      </c>
      <c r="D22" s="245">
        <v>43616</v>
      </c>
      <c r="E22" s="228" t="s">
        <v>119</v>
      </c>
      <c r="F22" s="228" t="s">
        <v>130</v>
      </c>
      <c r="G22" s="228" t="s">
        <v>120</v>
      </c>
      <c r="H22" s="236">
        <v>254</v>
      </c>
      <c r="I22" s="236">
        <v>1502648</v>
      </c>
    </row>
    <row r="23" spans="1:9">
      <c r="A23" s="228">
        <f t="shared" si="0"/>
        <v>17</v>
      </c>
      <c r="B23" s="235" t="s">
        <v>150</v>
      </c>
      <c r="C23" s="244">
        <v>16</v>
      </c>
      <c r="D23" s="245">
        <v>43616</v>
      </c>
      <c r="E23" s="228" t="s">
        <v>119</v>
      </c>
      <c r="F23" s="228" t="s">
        <v>142</v>
      </c>
      <c r="G23" s="228" t="s">
        <v>120</v>
      </c>
      <c r="H23" s="236">
        <v>46181</v>
      </c>
      <c r="I23" s="236">
        <v>228988766</v>
      </c>
    </row>
    <row r="24" spans="1:9">
      <c r="A24" s="228">
        <f t="shared" si="0"/>
        <v>18</v>
      </c>
      <c r="B24" s="235" t="s">
        <v>150</v>
      </c>
      <c r="C24" s="244">
        <v>16</v>
      </c>
      <c r="D24" s="245">
        <v>43616</v>
      </c>
      <c r="E24" s="228" t="s">
        <v>119</v>
      </c>
      <c r="F24" s="228" t="s">
        <v>144</v>
      </c>
      <c r="G24" s="228" t="s">
        <v>122</v>
      </c>
      <c r="H24" s="236">
        <v>17488</v>
      </c>
      <c r="I24" s="236">
        <v>134443879</v>
      </c>
    </row>
    <row r="25" spans="1:9">
      <c r="A25" s="228">
        <f t="shared" si="0"/>
        <v>19</v>
      </c>
      <c r="B25" s="235" t="s">
        <v>150</v>
      </c>
      <c r="C25" s="244">
        <v>16</v>
      </c>
      <c r="D25" s="245">
        <v>43616</v>
      </c>
      <c r="E25" s="228" t="s">
        <v>119</v>
      </c>
      <c r="F25" s="228" t="s">
        <v>144</v>
      </c>
      <c r="G25" s="228" t="s">
        <v>120</v>
      </c>
      <c r="H25" s="236">
        <v>80745</v>
      </c>
      <c r="I25" s="236">
        <v>471640346</v>
      </c>
    </row>
    <row r="26" spans="1:9" ht="27.6">
      <c r="A26" s="228">
        <f t="shared" si="0"/>
        <v>20</v>
      </c>
      <c r="B26" s="235" t="s">
        <v>153</v>
      </c>
      <c r="C26" s="244">
        <v>5</v>
      </c>
      <c r="D26" s="245">
        <v>43550</v>
      </c>
      <c r="E26" s="228" t="s">
        <v>119</v>
      </c>
      <c r="F26" s="228" t="s">
        <v>154</v>
      </c>
      <c r="G26" s="228" t="s">
        <v>120</v>
      </c>
      <c r="H26" s="236">
        <v>21065</v>
      </c>
      <c r="I26" s="236">
        <v>86730061</v>
      </c>
    </row>
    <row r="27" spans="1:9">
      <c r="A27" s="228"/>
      <c r="B27" s="237" t="s">
        <v>127</v>
      </c>
      <c r="C27" s="237"/>
      <c r="D27" s="237"/>
      <c r="E27" s="229" t="s">
        <v>124</v>
      </c>
      <c r="F27" s="229" t="s">
        <v>124</v>
      </c>
      <c r="G27" s="229" t="s">
        <v>124</v>
      </c>
      <c r="H27" s="238">
        <f>SUM(H7:H26)</f>
        <v>625586</v>
      </c>
      <c r="I27" s="238">
        <f>SUM(I7:I26)</f>
        <v>4057218351</v>
      </c>
    </row>
    <row r="29" spans="1:9" s="75" customFormat="1">
      <c r="A29" s="74"/>
      <c r="B29" s="75" t="s">
        <v>552</v>
      </c>
      <c r="H29" s="239"/>
      <c r="I29" s="239"/>
    </row>
    <row r="30" spans="1:9" s="75" customFormat="1" ht="20.25" customHeight="1">
      <c r="A30" s="74"/>
      <c r="B30" s="75" t="s">
        <v>522</v>
      </c>
    </row>
    <row r="31" spans="1:9" s="75" customFormat="1" ht="20.25" customHeight="1">
      <c r="A31" s="74"/>
      <c r="B31" s="75" t="s">
        <v>140</v>
      </c>
    </row>
  </sheetData>
  <mergeCells count="10">
    <mergeCell ref="H5:H6"/>
    <mergeCell ref="I5:I6"/>
    <mergeCell ref="A2:I2"/>
    <mergeCell ref="A3:I3"/>
    <mergeCell ref="A5:A6"/>
    <mergeCell ref="B5:B6"/>
    <mergeCell ref="C5:D5"/>
    <mergeCell ref="E5:E6"/>
    <mergeCell ref="F5:F6"/>
    <mergeCell ref="G5:G6"/>
  </mergeCells>
  <phoneticPr fontId="5" type="noConversion"/>
  <pageMargins left="0.73" right="0.19685039370078741" top="0.32" bottom="0.23622047244094491" header="0.19685039370078741" footer="0.19685039370078741"/>
  <pageSetup paperSize="9" orientation="landscape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11"/>
  <dimension ref="A2:AN33"/>
  <sheetViews>
    <sheetView zoomScaleNormal="130" workbookViewId="0">
      <selection activeCell="E30" sqref="E30"/>
    </sheetView>
  </sheetViews>
  <sheetFormatPr defaultColWidth="9.109375" defaultRowHeight="13.2"/>
  <cols>
    <col min="1" max="1" width="47.44140625" style="77" customWidth="1"/>
    <col min="2" max="2" width="4.5546875" style="77" customWidth="1"/>
    <col min="3" max="3" width="9.44140625" style="77" customWidth="1"/>
    <col min="4" max="4" width="9.88671875" style="77" bestFit="1" customWidth="1"/>
    <col min="5" max="6" width="10.44140625" style="78" customWidth="1"/>
    <col min="7" max="7" width="4.5546875" style="77" customWidth="1"/>
    <col min="8" max="8" width="8.109375" style="77" customWidth="1"/>
    <col min="9" max="9" width="8.33203125" style="77" customWidth="1"/>
    <col min="10" max="10" width="7.44140625" style="77" customWidth="1"/>
    <col min="11" max="11" width="6.33203125" style="77" customWidth="1"/>
    <col min="12" max="12" width="4.5546875" style="77" customWidth="1"/>
    <col min="13" max="13" width="7" style="77" customWidth="1"/>
    <col min="14" max="14" width="6" style="77" customWidth="1"/>
    <col min="15" max="15" width="7.33203125" style="77" customWidth="1"/>
    <col min="16" max="16" width="6.88671875" style="77" customWidth="1"/>
    <col min="17" max="17" width="5.6640625" style="77" customWidth="1"/>
    <col min="18" max="18" width="9.6640625" style="77" customWidth="1"/>
    <col min="19" max="19" width="9.109375" style="77"/>
    <col min="20" max="20" width="10" style="77" customWidth="1"/>
    <col min="21" max="21" width="8.44140625" style="77" customWidth="1"/>
    <col min="22" max="22" width="4.5546875" style="77" customWidth="1"/>
    <col min="23" max="23" width="6.5546875" style="77" customWidth="1"/>
    <col min="24" max="24" width="6" style="77" customWidth="1"/>
    <col min="25" max="25" width="5.88671875" style="77" customWidth="1"/>
    <col min="26" max="26" width="4.33203125" style="77" customWidth="1"/>
    <col min="27" max="27" width="4.5546875" style="77" customWidth="1"/>
    <col min="28" max="28" width="9.6640625" style="77" customWidth="1"/>
    <col min="29" max="29" width="8.109375" style="77" customWidth="1"/>
    <col min="30" max="30" width="10.5546875" style="77" customWidth="1"/>
    <col min="31" max="31" width="7.6640625" style="77" customWidth="1"/>
    <col min="32" max="32" width="4.5546875" style="77" customWidth="1"/>
    <col min="33" max="33" width="9.33203125" style="77" customWidth="1"/>
    <col min="34" max="34" width="10.44140625" style="77" customWidth="1"/>
    <col min="35" max="35" width="7.88671875" style="77" customWidth="1"/>
    <col min="36" max="36" width="6" style="77" customWidth="1"/>
    <col min="37" max="37" width="4.5546875" style="77" customWidth="1"/>
    <col min="38" max="38" width="7.5546875" style="77" customWidth="1"/>
    <col min="39" max="39" width="6.88671875" style="77" customWidth="1"/>
    <col min="40" max="40" width="5.88671875" style="77" customWidth="1"/>
    <col min="41" max="41" width="6.6640625" style="77" customWidth="1"/>
    <col min="42" max="16384" width="9.109375" style="77"/>
  </cols>
  <sheetData>
    <row r="2" spans="1:6" ht="37.5" customHeight="1">
      <c r="A2" s="371" t="s">
        <v>178</v>
      </c>
      <c r="B2" s="371"/>
      <c r="C2" s="371"/>
      <c r="D2" s="371"/>
      <c r="E2" s="371"/>
      <c r="F2" s="371"/>
    </row>
    <row r="3" spans="1:6">
      <c r="A3" s="86"/>
      <c r="C3" s="78"/>
      <c r="D3" s="78"/>
      <c r="E3" s="78" t="s">
        <v>587</v>
      </c>
    </row>
    <row r="4" spans="1:6" s="87" customFormat="1" ht="44.25" customHeight="1">
      <c r="A4" s="373" t="s">
        <v>261</v>
      </c>
      <c r="B4" s="373" t="s">
        <v>301</v>
      </c>
      <c r="C4" s="373" t="s">
        <v>333</v>
      </c>
      <c r="D4" s="373" t="s">
        <v>639</v>
      </c>
      <c r="E4" s="372" t="s">
        <v>179</v>
      </c>
      <c r="F4" s="372"/>
    </row>
    <row r="5" spans="1:6" s="79" customFormat="1" ht="22.5" customHeight="1">
      <c r="A5" s="373"/>
      <c r="B5" s="373"/>
      <c r="C5" s="373"/>
      <c r="D5" s="373"/>
      <c r="E5" s="81" t="s">
        <v>241</v>
      </c>
      <c r="F5" s="85" t="s">
        <v>677</v>
      </c>
    </row>
    <row r="6" spans="1:6" s="79" customFormat="1" ht="16.5" customHeight="1">
      <c r="A6" s="88" t="s">
        <v>384</v>
      </c>
      <c r="B6" s="89">
        <v>280</v>
      </c>
      <c r="C6" s="89" t="e">
        <f>'Мол нат'!#REF!</f>
        <v>#REF!</v>
      </c>
      <c r="D6" s="89" t="e">
        <f>'Мол нат'!#REF!</f>
        <v>#REF!</v>
      </c>
      <c r="E6" s="89" t="e">
        <f>-#REF!+F6+#REF!</f>
        <v>#REF!</v>
      </c>
      <c r="F6" s="89" t="e">
        <f>+#REF!+#REF!</f>
        <v>#REF!</v>
      </c>
    </row>
    <row r="7" spans="1:6" s="79" customFormat="1" ht="16.5" customHeight="1">
      <c r="A7" s="88" t="s">
        <v>326</v>
      </c>
      <c r="B7" s="89">
        <v>290</v>
      </c>
      <c r="C7" s="89" t="e">
        <f>'Мол нат'!#REF!</f>
        <v>#REF!</v>
      </c>
      <c r="D7" s="89" t="e">
        <f>'Мол нат'!#REF!</f>
        <v>#REF!</v>
      </c>
      <c r="E7" s="89" t="e">
        <f>+#REF!+F7-#REF!+E8</f>
        <v>#REF!</v>
      </c>
      <c r="F7" s="89"/>
    </row>
    <row r="8" spans="1:6" s="79" customFormat="1" ht="16.5" customHeight="1">
      <c r="A8" s="88" t="s">
        <v>385</v>
      </c>
      <c r="B8" s="89">
        <v>291</v>
      </c>
      <c r="C8" s="89" t="e">
        <f>'Мол нат'!#REF!</f>
        <v>#REF!</v>
      </c>
      <c r="D8" s="89" t="e">
        <f>'Мол нат'!#REF!</f>
        <v>#REF!</v>
      </c>
      <c r="E8" s="89" t="e">
        <f>F8+#REF!-#REF!</f>
        <v>#REF!</v>
      </c>
      <c r="F8" s="89"/>
    </row>
    <row r="9" spans="1:6" s="79" customFormat="1" ht="16.5" customHeight="1">
      <c r="A9" s="88" t="s">
        <v>386</v>
      </c>
      <c r="B9" s="89"/>
      <c r="C9" s="89"/>
      <c r="D9" s="89"/>
      <c r="E9" s="89"/>
      <c r="F9" s="89"/>
    </row>
    <row r="10" spans="1:6" s="79" customFormat="1" ht="16.5" customHeight="1">
      <c r="A10" s="88" t="s">
        <v>440</v>
      </c>
      <c r="B10" s="89">
        <v>300</v>
      </c>
      <c r="C10" s="89" t="e">
        <f>'Мол нат'!#REF!</f>
        <v>#REF!</v>
      </c>
      <c r="D10" s="89" t="e">
        <f>'Мол нат'!#REF!</f>
        <v>#REF!</v>
      </c>
      <c r="E10" s="89" t="e">
        <f>#REF!+#REF!-#REF!</f>
        <v>#REF!</v>
      </c>
      <c r="F10" s="89" t="e">
        <f>+#REF!+#REF!</f>
        <v>#REF!</v>
      </c>
    </row>
    <row r="11" spans="1:6" s="79" customFormat="1" ht="16.5" customHeight="1">
      <c r="A11" s="88" t="s">
        <v>252</v>
      </c>
      <c r="B11" s="89">
        <v>310</v>
      </c>
      <c r="C11" s="89" t="e">
        <f>'Мол нат'!#REF!</f>
        <v>#REF!</v>
      </c>
      <c r="D11" s="89" t="e">
        <f>'Мол нат'!#REF!</f>
        <v>#REF!</v>
      </c>
      <c r="E11" s="89" t="e">
        <f>F11+#REF!-#REF!</f>
        <v>#REF!</v>
      </c>
      <c r="F11" s="89" t="e">
        <f>+#REF!+#REF!</f>
        <v>#REF!</v>
      </c>
    </row>
    <row r="12" spans="1:6" s="79" customFormat="1" ht="16.5" customHeight="1">
      <c r="A12" s="88" t="s">
        <v>337</v>
      </c>
      <c r="B12" s="89">
        <v>320</v>
      </c>
      <c r="C12" s="89" t="e">
        <f>'Мол нат'!#REF!</f>
        <v>#REF!</v>
      </c>
      <c r="D12" s="89" t="e">
        <f>'Мол нат'!#REF!</f>
        <v>#REF!</v>
      </c>
      <c r="E12" s="89"/>
      <c r="F12" s="89"/>
    </row>
    <row r="13" spans="1:6" s="79" customFormat="1" ht="16.5" customHeight="1">
      <c r="A13" s="88" t="s">
        <v>370</v>
      </c>
      <c r="B13" s="89">
        <v>330</v>
      </c>
      <c r="C13" s="89" t="e">
        <f>'Мол нат'!#REF!</f>
        <v>#REF!</v>
      </c>
      <c r="D13" s="89" t="e">
        <f>'Мол нат'!#REF!</f>
        <v>#REF!</v>
      </c>
      <c r="E13" s="89"/>
      <c r="F13" s="89"/>
    </row>
    <row r="14" spans="1:6" s="79" customFormat="1" ht="16.5" customHeight="1">
      <c r="A14" s="88" t="s">
        <v>556</v>
      </c>
      <c r="B14" s="89">
        <v>340</v>
      </c>
      <c r="C14" s="89" t="e">
        <f>'Мол нат'!#REF!</f>
        <v>#REF!</v>
      </c>
      <c r="D14" s="89" t="e">
        <f>'Мол нат'!#REF!</f>
        <v>#REF!</v>
      </c>
      <c r="E14" s="89" t="e">
        <f>F14+#REF!-#REF!</f>
        <v>#REF!</v>
      </c>
      <c r="F14" s="89" t="e">
        <f>#REF!+#REF!</f>
        <v>#REF!</v>
      </c>
    </row>
    <row r="15" spans="1:6" s="79" customFormat="1" ht="16.5" customHeight="1">
      <c r="A15" s="88" t="s">
        <v>343</v>
      </c>
      <c r="B15" s="89">
        <v>350</v>
      </c>
      <c r="C15" s="89" t="e">
        <f>'Мол нат'!#REF!</f>
        <v>#REF!</v>
      </c>
      <c r="D15" s="89" t="e">
        <f>'Мол нат'!#REF!</f>
        <v>#REF!</v>
      </c>
      <c r="E15" s="89" t="e">
        <f>+F15+#REF!-#REF!</f>
        <v>#REF!</v>
      </c>
      <c r="F15" s="89" t="e">
        <f>+#REF!+#REF!</f>
        <v>#REF!</v>
      </c>
    </row>
    <row r="16" spans="1:6" s="79" customFormat="1" ht="16.5" customHeight="1">
      <c r="A16" s="88" t="s">
        <v>344</v>
      </c>
      <c r="B16" s="89">
        <v>360</v>
      </c>
      <c r="C16" s="89" t="e">
        <f>'Мол нат'!#REF!</f>
        <v>#REF!</v>
      </c>
      <c r="D16" s="89" t="e">
        <f>'Мол нат'!#REF!</f>
        <v>#REF!</v>
      </c>
      <c r="E16" s="89" t="e">
        <f>F16+#REF!-#REF!</f>
        <v>#REF!</v>
      </c>
      <c r="F16" s="89" t="e">
        <f>#REF!+#REF!</f>
        <v>#REF!</v>
      </c>
    </row>
    <row r="17" spans="1:30" s="79" customFormat="1" ht="16.5" customHeight="1">
      <c r="A17" s="88" t="s">
        <v>345</v>
      </c>
      <c r="B17" s="89">
        <v>370</v>
      </c>
      <c r="C17" s="89" t="e">
        <f>'Мол нат'!#REF!</f>
        <v>#REF!</v>
      </c>
      <c r="D17" s="89" t="e">
        <f>'Мол нат'!#REF!</f>
        <v>#REF!</v>
      </c>
      <c r="E17" s="89"/>
      <c r="F17" s="89"/>
    </row>
    <row r="18" spans="1:30" s="79" customFormat="1" ht="16.5" customHeight="1">
      <c r="A18" s="88" t="s">
        <v>202</v>
      </c>
      <c r="B18" s="89">
        <v>380</v>
      </c>
      <c r="C18" s="89" t="e">
        <f>'Мол нат'!#REF!</f>
        <v>#REF!</v>
      </c>
      <c r="D18" s="89" t="e">
        <f>'Мол нат'!#REF!</f>
        <v>#REF!</v>
      </c>
      <c r="E18" s="89"/>
      <c r="F18" s="89"/>
    </row>
    <row r="19" spans="1:30" s="79" customFormat="1" ht="16.5" customHeight="1">
      <c r="A19" s="88" t="s">
        <v>346</v>
      </c>
      <c r="B19" s="89">
        <v>390</v>
      </c>
      <c r="C19" s="89" t="e">
        <f>'Мол нат'!#REF!</f>
        <v>#REF!</v>
      </c>
      <c r="D19" s="89" t="e">
        <f>'Мол нат'!#REF!</f>
        <v>#REF!</v>
      </c>
      <c r="E19" s="89"/>
      <c r="F19" s="89"/>
    </row>
    <row r="20" spans="1:30" s="79" customFormat="1" ht="16.5" customHeight="1">
      <c r="A20" s="88" t="s">
        <v>539</v>
      </c>
      <c r="B20" s="89">
        <v>400</v>
      </c>
      <c r="C20" s="89" t="e">
        <f>'Мол нат'!#REF!</f>
        <v>#REF!</v>
      </c>
      <c r="D20" s="89" t="e">
        <f>'Мол нат'!#REF!</f>
        <v>#REF!</v>
      </c>
      <c r="E20" s="89" t="e">
        <f>+F20-#REF!-#REF!-#REF!+#REF!+#REF!+#REF!-#REF!+#REF!+#REF!+#REF!+#REF!+#REF!</f>
        <v>#REF!</v>
      </c>
      <c r="F20" s="89" t="e">
        <f>#REF!+#REF!+#REF!+#REF!+#REF!+#REF!+#REF!+#REF!+#REF!+#REF!+#REF!+#REF!+#REF!+#REF!+#REF!</f>
        <v>#REF!</v>
      </c>
    </row>
    <row r="21" spans="1:30" s="79" customFormat="1" ht="16.5" customHeight="1">
      <c r="A21" s="88" t="s">
        <v>254</v>
      </c>
      <c r="B21" s="89">
        <v>410</v>
      </c>
      <c r="C21" s="89" t="e">
        <f>'Мол нат'!#REF!</f>
        <v>#REF!</v>
      </c>
      <c r="D21" s="89" t="e">
        <f>'Мол нат'!#REF!</f>
        <v>#REF!</v>
      </c>
      <c r="E21" s="89" t="e">
        <f>F21+#REF!</f>
        <v>#REF!</v>
      </c>
      <c r="F21" s="89" t="e">
        <f>#REF!+#REF!</f>
        <v>#REF!</v>
      </c>
    </row>
    <row r="22" spans="1:30" s="79" customFormat="1" ht="16.5" customHeight="1">
      <c r="A22" s="88" t="s">
        <v>551</v>
      </c>
      <c r="B22" s="370">
        <v>420</v>
      </c>
      <c r="C22" s="89" t="e">
        <f>'Мол нат'!#REF!</f>
        <v>#REF!</v>
      </c>
      <c r="D22" s="89" t="e">
        <f>'Мол нат'!#REF!</f>
        <v>#REF!</v>
      </c>
      <c r="E22" s="89" t="e">
        <f>F22+#REF!</f>
        <v>#REF!</v>
      </c>
      <c r="F22" s="89" t="e">
        <f>#REF!+#REF!</f>
        <v>#REF!</v>
      </c>
    </row>
    <row r="23" spans="1:30" s="79" customFormat="1" ht="16.5" customHeight="1">
      <c r="A23" s="88" t="s">
        <v>253</v>
      </c>
      <c r="B23" s="370"/>
      <c r="C23" s="89">
        <v>0</v>
      </c>
      <c r="D23" s="89">
        <v>0</v>
      </c>
      <c r="E23" s="89" t="e">
        <f>F23+#REF!</f>
        <v>#REF!</v>
      </c>
      <c r="F23" s="89" t="e">
        <f>#REF!+#REF!</f>
        <v>#REF!</v>
      </c>
    </row>
    <row r="24" spans="1:30" s="79" customFormat="1" ht="16.5" customHeight="1">
      <c r="A24" s="88" t="s">
        <v>300</v>
      </c>
      <c r="B24" s="89">
        <v>430</v>
      </c>
      <c r="C24" s="89" t="e">
        <f>'Мол нат'!#REF!</f>
        <v>#REF!</v>
      </c>
      <c r="D24" s="89" t="e">
        <f>'Мол нат'!#REF!</f>
        <v>#REF!</v>
      </c>
      <c r="E24" s="89" t="e">
        <f>F24+#REF!-#REF!</f>
        <v>#REF!</v>
      </c>
      <c r="F24" s="89" t="e">
        <f>#REF!+#REF!</f>
        <v>#REF!</v>
      </c>
    </row>
    <row r="25" spans="1:30" s="79" customFormat="1" ht="16.5" customHeight="1">
      <c r="A25" s="88" t="s">
        <v>398</v>
      </c>
      <c r="B25" s="89">
        <v>440</v>
      </c>
      <c r="C25" s="89" t="e">
        <f>'Мол нат'!#REF!</f>
        <v>#REF!</v>
      </c>
      <c r="D25" s="89" t="e">
        <f>'Мол нат'!#REF!</f>
        <v>#REF!</v>
      </c>
      <c r="E25" s="89" t="e">
        <f>F25+#REF!</f>
        <v>#REF!</v>
      </c>
      <c r="F25" s="89" t="e">
        <f>#REF!+#REF!</f>
        <v>#REF!</v>
      </c>
    </row>
    <row r="26" spans="1:30" s="79" customFormat="1" ht="16.5" customHeight="1">
      <c r="A26" s="88" t="s">
        <v>582</v>
      </c>
      <c r="B26" s="88">
        <v>450</v>
      </c>
      <c r="C26" s="90"/>
      <c r="D26" s="90"/>
      <c r="E26" s="90"/>
      <c r="F26" s="90"/>
    </row>
    <row r="27" spans="1:30" s="79" customFormat="1" ht="16.5" customHeight="1">
      <c r="A27" s="88" t="s">
        <v>557</v>
      </c>
      <c r="B27" s="89">
        <v>460</v>
      </c>
      <c r="C27" s="89" t="e">
        <f>'Мол нат'!#REF!</f>
        <v>#REF!</v>
      </c>
      <c r="D27" s="89" t="e">
        <f>'Мол нат'!#REF!</f>
        <v>#REF!</v>
      </c>
      <c r="E27" s="89"/>
      <c r="F27" s="89"/>
    </row>
    <row r="28" spans="1:30" s="79" customFormat="1" ht="16.5" customHeight="1">
      <c r="A28" s="88" t="s">
        <v>439</v>
      </c>
      <c r="B28" s="89">
        <v>470</v>
      </c>
      <c r="C28" s="89" t="e">
        <f>'Мол нат'!#REF!</f>
        <v>#REF!</v>
      </c>
      <c r="D28" s="89" t="e">
        <f>'Мол нат'!#REF!</f>
        <v>#REF!</v>
      </c>
      <c r="E28" s="89"/>
      <c r="F28" s="89"/>
    </row>
    <row r="29" spans="1:30" s="79" customFormat="1" ht="16.5" customHeight="1">
      <c r="A29" s="88" t="s">
        <v>640</v>
      </c>
      <c r="B29" s="89"/>
      <c r="C29" s="89"/>
      <c r="D29" s="89"/>
      <c r="E29" s="89"/>
      <c r="F29" s="89"/>
    </row>
    <row r="30" spans="1:30" s="79" customFormat="1" ht="16.5" customHeight="1">
      <c r="A30" s="88" t="s">
        <v>641</v>
      </c>
      <c r="B30" s="89">
        <v>480</v>
      </c>
      <c r="C30" s="89" t="e">
        <f>SUM(C6:C29)-C8</f>
        <v>#REF!</v>
      </c>
      <c r="D30" s="89" t="e">
        <f>SUM(D6:D29)-D8</f>
        <v>#REF!</v>
      </c>
      <c r="E30" s="89" t="e">
        <f>SUM(E6:E29)-E8</f>
        <v>#REF!</v>
      </c>
      <c r="F30" s="89" t="e">
        <f>SUM(F6:F29)-F8</f>
        <v>#REF!</v>
      </c>
    </row>
    <row r="31" spans="1:30" s="79" customFormat="1" ht="22.5" customHeight="1">
      <c r="C31" s="91" t="e">
        <f>+C30-'Мол нат'!#REF!</f>
        <v>#REF!</v>
      </c>
      <c r="D31" s="91" t="e">
        <f>+D30-'Мол нат'!#REF!</f>
        <v>#REF!</v>
      </c>
      <c r="E31" s="91" t="e">
        <f>('Бух баланс'!#REF!+'Бух баланс'!#REF!+'Бух баланс'!#REF!+'Бух баланс'!#REF!-'Бух баланс'!#REF!-'Бух баланс'!#REF!)-'Мол натга илова'!E30</f>
        <v>#REF!</v>
      </c>
      <c r="F31" s="91" t="e">
        <f>('Бух баланс'!#REF!+'Бух баланс'!#REF!)-'Мол натга илова'!F30</f>
        <v>#REF!</v>
      </c>
    </row>
    <row r="32" spans="1:30" ht="22.5" customHeight="1">
      <c r="A32" s="80" t="s">
        <v>530</v>
      </c>
      <c r="C32" s="80"/>
      <c r="E32" s="82"/>
      <c r="Y32" s="83"/>
      <c r="AD32" s="78"/>
    </row>
    <row r="33" spans="1:40" ht="36" customHeight="1">
      <c r="A33" s="80" t="s">
        <v>306</v>
      </c>
      <c r="R33" s="78"/>
      <c r="AN33" s="84"/>
    </row>
  </sheetData>
  <mergeCells count="7">
    <mergeCell ref="B22:B23"/>
    <mergeCell ref="A2:F2"/>
    <mergeCell ref="E4:F4"/>
    <mergeCell ref="B4:B5"/>
    <mergeCell ref="A4:A5"/>
    <mergeCell ref="C4:C5"/>
    <mergeCell ref="D4:D5"/>
  </mergeCells>
  <phoneticPr fontId="5" type="noConversion"/>
  <printOptions horizontalCentered="1"/>
  <pageMargins left="0.91" right="0.23622047244094491" top="0.66" bottom="0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>
    <tabColor rgb="FF00B0F0"/>
  </sheetPr>
  <dimension ref="A2:F88"/>
  <sheetViews>
    <sheetView topLeftCell="A79" zoomScaleSheetLayoutView="100" workbookViewId="0">
      <selection activeCell="G38" sqref="G38"/>
    </sheetView>
  </sheetViews>
  <sheetFormatPr defaultColWidth="9.109375" defaultRowHeight="13.2"/>
  <cols>
    <col min="1" max="1" width="41.6640625" style="374" customWidth="1"/>
    <col min="2" max="2" width="5.6640625" style="374" customWidth="1"/>
    <col min="3" max="3" width="14.6640625" style="375" customWidth="1"/>
    <col min="4" max="4" width="18.6640625" style="375" customWidth="1"/>
    <col min="5" max="5" width="14" style="375" customWidth="1"/>
    <col min="6" max="6" width="18.5546875" style="375" customWidth="1"/>
    <col min="7" max="7" width="23.44140625" style="374" customWidth="1"/>
    <col min="8" max="8" width="18" style="374" customWidth="1"/>
    <col min="9" max="16384" width="9.109375" style="374"/>
  </cols>
  <sheetData>
    <row r="2" spans="1:6" ht="21.75" customHeight="1"/>
    <row r="3" spans="1:6" ht="10.5" customHeight="1">
      <c r="A3" s="376" t="s">
        <v>702</v>
      </c>
      <c r="B3" s="376"/>
      <c r="C3" s="376"/>
      <c r="D3" s="376"/>
      <c r="E3" s="376"/>
      <c r="F3" s="376"/>
    </row>
    <row r="4" spans="1:6">
      <c r="A4" s="377"/>
      <c r="B4" s="378"/>
      <c r="C4" s="378" t="s">
        <v>4</v>
      </c>
      <c r="D4" s="378"/>
      <c r="E4" s="379"/>
      <c r="F4" s="380" t="s">
        <v>703</v>
      </c>
    </row>
    <row r="5" spans="1:6">
      <c r="A5" s="377" t="s">
        <v>704</v>
      </c>
      <c r="B5" s="377"/>
      <c r="C5" s="377"/>
      <c r="D5" s="377"/>
      <c r="E5" s="379"/>
      <c r="F5" s="381"/>
    </row>
    <row r="6" spans="1:6">
      <c r="A6" s="377" t="s">
        <v>705</v>
      </c>
      <c r="B6" s="382" t="s">
        <v>706</v>
      </c>
      <c r="C6" s="382"/>
      <c r="D6" s="382"/>
      <c r="E6" s="383" t="s">
        <v>707</v>
      </c>
      <c r="F6" s="381" t="s">
        <v>708</v>
      </c>
    </row>
    <row r="7" spans="1:6">
      <c r="A7" s="377" t="s">
        <v>709</v>
      </c>
      <c r="B7" s="384" t="s">
        <v>180</v>
      </c>
      <c r="C7" s="384"/>
      <c r="D7" s="384"/>
      <c r="E7" s="383" t="s">
        <v>710</v>
      </c>
      <c r="F7" s="385" t="s">
        <v>711</v>
      </c>
    </row>
    <row r="8" spans="1:6">
      <c r="A8" s="377" t="s">
        <v>712</v>
      </c>
      <c r="B8" s="384"/>
      <c r="C8" s="384"/>
      <c r="D8" s="384"/>
      <c r="E8" s="383" t="s">
        <v>713</v>
      </c>
      <c r="F8" s="385" t="s">
        <v>714</v>
      </c>
    </row>
    <row r="9" spans="1:6">
      <c r="A9" s="377" t="s">
        <v>715</v>
      </c>
      <c r="B9" s="384" t="s">
        <v>716</v>
      </c>
      <c r="C9" s="384"/>
      <c r="D9" s="384"/>
      <c r="E9" s="383" t="s">
        <v>717</v>
      </c>
      <c r="F9" s="385" t="s">
        <v>718</v>
      </c>
    </row>
    <row r="10" spans="1:6">
      <c r="A10" s="377" t="s">
        <v>719</v>
      </c>
      <c r="B10" s="384" t="s">
        <v>720</v>
      </c>
      <c r="C10" s="384"/>
      <c r="D10" s="384"/>
      <c r="E10" s="383" t="s">
        <v>721</v>
      </c>
      <c r="F10" s="385" t="s">
        <v>722</v>
      </c>
    </row>
    <row r="11" spans="1:6">
      <c r="A11" s="377" t="s">
        <v>723</v>
      </c>
      <c r="B11" s="377"/>
      <c r="C11" s="377"/>
      <c r="D11" s="377"/>
      <c r="E11" s="383" t="s">
        <v>652</v>
      </c>
      <c r="F11" s="385" t="s">
        <v>724</v>
      </c>
    </row>
    <row r="12" spans="1:6">
      <c r="A12" s="377" t="s">
        <v>725</v>
      </c>
      <c r="B12" s="382" t="s">
        <v>726</v>
      </c>
      <c r="C12" s="382"/>
      <c r="D12" s="382"/>
      <c r="E12" s="383" t="s">
        <v>727</v>
      </c>
      <c r="F12" s="385" t="s">
        <v>728</v>
      </c>
    </row>
    <row r="13" spans="1:6">
      <c r="A13" s="377" t="s">
        <v>729</v>
      </c>
      <c r="B13" s="384" t="s">
        <v>730</v>
      </c>
      <c r="C13" s="384"/>
      <c r="D13" s="384"/>
      <c r="E13" s="383" t="s">
        <v>731</v>
      </c>
      <c r="F13" s="386"/>
    </row>
    <row r="14" spans="1:6" ht="16.8">
      <c r="A14" s="387" t="s">
        <v>882</v>
      </c>
      <c r="B14" s="387"/>
      <c r="C14" s="387"/>
      <c r="D14" s="387"/>
      <c r="E14" s="383" t="s">
        <v>732</v>
      </c>
      <c r="F14" s="386"/>
    </row>
    <row r="15" spans="1:6" ht="30" customHeight="1">
      <c r="A15" s="377"/>
      <c r="B15" s="377"/>
      <c r="C15" s="377"/>
      <c r="D15" s="377"/>
      <c r="E15" s="383" t="s">
        <v>733</v>
      </c>
      <c r="F15" s="386"/>
    </row>
    <row r="16" spans="1:6" ht="32.25" customHeight="1">
      <c r="A16" s="388"/>
      <c r="B16" s="388"/>
      <c r="C16" s="389"/>
      <c r="D16" s="389"/>
      <c r="E16" s="389"/>
      <c r="F16" s="389"/>
    </row>
    <row r="17" spans="1:6">
      <c r="A17" s="390" t="s">
        <v>734</v>
      </c>
      <c r="B17" s="391" t="s">
        <v>735</v>
      </c>
      <c r="C17" s="390" t="s">
        <v>736</v>
      </c>
      <c r="D17" s="390"/>
      <c r="E17" s="390" t="s">
        <v>737</v>
      </c>
      <c r="F17" s="390"/>
    </row>
    <row r="18" spans="1:6" ht="26.4">
      <c r="A18" s="390"/>
      <c r="B18" s="391"/>
      <c r="C18" s="392" t="s">
        <v>738</v>
      </c>
      <c r="D18" s="392" t="s">
        <v>739</v>
      </c>
      <c r="E18" s="392" t="s">
        <v>738</v>
      </c>
      <c r="F18" s="392" t="s">
        <v>739</v>
      </c>
    </row>
    <row r="19" spans="1:6" ht="26.4">
      <c r="A19" s="393" t="s">
        <v>740</v>
      </c>
      <c r="B19" s="394" t="s">
        <v>255</v>
      </c>
      <c r="C19" s="395">
        <v>176584</v>
      </c>
      <c r="D19" s="396"/>
      <c r="E19" s="397">
        <v>0</v>
      </c>
      <c r="F19" s="398"/>
    </row>
    <row r="20" spans="1:6" ht="26.4">
      <c r="A20" s="393" t="s">
        <v>741</v>
      </c>
      <c r="B20" s="394" t="s">
        <v>329</v>
      </c>
      <c r="C20" s="396"/>
      <c r="D20" s="396">
        <v>150096</v>
      </c>
      <c r="E20" s="398"/>
      <c r="F20" s="398">
        <v>0</v>
      </c>
    </row>
    <row r="21" spans="1:6" ht="39.6">
      <c r="A21" s="393" t="s">
        <v>742</v>
      </c>
      <c r="B21" s="394" t="s">
        <v>244</v>
      </c>
      <c r="C21" s="396">
        <v>26488</v>
      </c>
      <c r="D21" s="396"/>
      <c r="E21" s="398">
        <v>0</v>
      </c>
      <c r="F21" s="398"/>
    </row>
    <row r="22" spans="1:6" ht="26.4">
      <c r="A22" s="393" t="s">
        <v>743</v>
      </c>
      <c r="B22" s="394" t="s">
        <v>666</v>
      </c>
      <c r="C22" s="396"/>
      <c r="D22" s="396">
        <v>155389</v>
      </c>
      <c r="E22" s="398"/>
      <c r="F22" s="398">
        <v>1007112</v>
      </c>
    </row>
    <row r="23" spans="1:6">
      <c r="A23" s="393" t="s">
        <v>744</v>
      </c>
      <c r="B23" s="394" t="s">
        <v>667</v>
      </c>
      <c r="C23" s="396"/>
      <c r="D23" s="396"/>
      <c r="E23" s="398"/>
      <c r="F23" s="398"/>
    </row>
    <row r="24" spans="1:6">
      <c r="A24" s="393" t="s">
        <v>408</v>
      </c>
      <c r="B24" s="394" t="s">
        <v>668</v>
      </c>
      <c r="C24" s="396"/>
      <c r="D24" s="396">
        <v>143096</v>
      </c>
      <c r="E24" s="398"/>
      <c r="F24" s="398">
        <v>181216</v>
      </c>
    </row>
    <row r="25" spans="1:6">
      <c r="A25" s="393" t="s">
        <v>745</v>
      </c>
      <c r="B25" s="394" t="s">
        <v>669</v>
      </c>
      <c r="C25" s="396"/>
      <c r="D25" s="399">
        <v>12293</v>
      </c>
      <c r="E25" s="398"/>
      <c r="F25" s="399">
        <v>825896</v>
      </c>
    </row>
    <row r="26" spans="1:6" ht="39.6">
      <c r="A26" s="393" t="s">
        <v>746</v>
      </c>
      <c r="B26" s="394" t="s">
        <v>304</v>
      </c>
      <c r="C26" s="396"/>
      <c r="D26" s="396"/>
      <c r="E26" s="398"/>
      <c r="F26" s="398"/>
    </row>
    <row r="27" spans="1:6">
      <c r="A27" s="393" t="s">
        <v>747</v>
      </c>
      <c r="B27" s="394" t="s">
        <v>534</v>
      </c>
      <c r="C27" s="396"/>
      <c r="D27" s="396"/>
      <c r="E27" s="398">
        <v>566676</v>
      </c>
      <c r="F27" s="398"/>
    </row>
    <row r="28" spans="1:6" ht="26.4">
      <c r="A28" s="393" t="s">
        <v>748</v>
      </c>
      <c r="B28" s="394" t="s">
        <v>535</v>
      </c>
      <c r="C28" s="396"/>
      <c r="D28" s="396">
        <v>128901</v>
      </c>
      <c r="E28" s="398"/>
      <c r="F28" s="398">
        <v>440436</v>
      </c>
    </row>
    <row r="29" spans="1:6" ht="26.4">
      <c r="A29" s="393" t="s">
        <v>749</v>
      </c>
      <c r="B29" s="394" t="s">
        <v>328</v>
      </c>
      <c r="C29" s="396"/>
      <c r="D29" s="396"/>
      <c r="E29" s="398">
        <v>0</v>
      </c>
      <c r="F29" s="398"/>
    </row>
    <row r="30" spans="1:6">
      <c r="A30" s="393" t="s">
        <v>750</v>
      </c>
      <c r="B30" s="394" t="s">
        <v>303</v>
      </c>
      <c r="C30" s="396"/>
      <c r="D30" s="396"/>
      <c r="E30" s="398"/>
      <c r="F30" s="398"/>
    </row>
    <row r="31" spans="1:6">
      <c r="A31" s="393" t="s">
        <v>574</v>
      </c>
      <c r="B31" s="394" t="s">
        <v>402</v>
      </c>
      <c r="C31" s="396"/>
      <c r="D31" s="396"/>
      <c r="E31" s="398"/>
      <c r="F31" s="398"/>
    </row>
    <row r="32" spans="1:6">
      <c r="A32" s="393" t="s">
        <v>751</v>
      </c>
      <c r="B32" s="394" t="s">
        <v>186</v>
      </c>
      <c r="C32" s="396"/>
      <c r="D32" s="396"/>
      <c r="E32" s="398"/>
      <c r="F32" s="398"/>
    </row>
    <row r="33" spans="1:6">
      <c r="A33" s="393" t="s">
        <v>752</v>
      </c>
      <c r="B33" s="394" t="s">
        <v>187</v>
      </c>
      <c r="C33" s="396"/>
      <c r="D33" s="396"/>
      <c r="E33" s="398"/>
      <c r="F33" s="398"/>
    </row>
    <row r="34" spans="1:6">
      <c r="A34" s="393" t="s">
        <v>753</v>
      </c>
      <c r="B34" s="394" t="s">
        <v>188</v>
      </c>
      <c r="C34" s="396"/>
      <c r="D34" s="396"/>
      <c r="E34" s="398">
        <v>0</v>
      </c>
      <c r="F34" s="398"/>
    </row>
    <row r="35" spans="1:6" ht="26.4">
      <c r="A35" s="393" t="s">
        <v>754</v>
      </c>
      <c r="B35" s="394" t="s">
        <v>189</v>
      </c>
      <c r="C35" s="396"/>
      <c r="D35" s="396"/>
      <c r="E35" s="398"/>
      <c r="F35" s="398"/>
    </row>
    <row r="36" spans="1:6">
      <c r="A36" s="393" t="s">
        <v>642</v>
      </c>
      <c r="B36" s="394" t="s">
        <v>190</v>
      </c>
      <c r="C36" s="396"/>
      <c r="D36" s="396"/>
      <c r="E36" s="398"/>
      <c r="F36" s="398"/>
    </row>
    <row r="37" spans="1:6" ht="26.4">
      <c r="A37" s="393" t="s">
        <v>755</v>
      </c>
      <c r="B37" s="394" t="s">
        <v>191</v>
      </c>
      <c r="C37" s="396"/>
      <c r="D37" s="396"/>
      <c r="E37" s="398"/>
      <c r="F37" s="398"/>
    </row>
    <row r="38" spans="1:6">
      <c r="A38" s="393" t="s">
        <v>756</v>
      </c>
      <c r="B38" s="394" t="s">
        <v>192</v>
      </c>
      <c r="C38" s="396"/>
      <c r="D38" s="396"/>
      <c r="E38" s="398"/>
      <c r="F38" s="398"/>
    </row>
    <row r="39" spans="1:6">
      <c r="A39" s="393" t="s">
        <v>757</v>
      </c>
      <c r="B39" s="394" t="s">
        <v>193</v>
      </c>
      <c r="C39" s="396"/>
      <c r="D39" s="396"/>
      <c r="E39" s="398"/>
      <c r="F39" s="398"/>
    </row>
    <row r="40" spans="1:6" ht="26.4">
      <c r="A40" s="393" t="s">
        <v>758</v>
      </c>
      <c r="B40" s="394" t="s">
        <v>194</v>
      </c>
      <c r="C40" s="396">
        <v>0</v>
      </c>
      <c r="D40" s="396">
        <v>128901</v>
      </c>
      <c r="E40" s="398"/>
      <c r="F40" s="398">
        <v>440436</v>
      </c>
    </row>
    <row r="41" spans="1:6">
      <c r="A41" s="393" t="s">
        <v>759</v>
      </c>
      <c r="B41" s="394" t="s">
        <v>195</v>
      </c>
      <c r="C41" s="396"/>
      <c r="D41" s="396"/>
      <c r="E41" s="398"/>
      <c r="F41" s="398"/>
    </row>
    <row r="42" spans="1:6" ht="26.4">
      <c r="A42" s="393" t="s">
        <v>760</v>
      </c>
      <c r="B42" s="394" t="s">
        <v>196</v>
      </c>
      <c r="C42" s="396">
        <v>0</v>
      </c>
      <c r="D42" s="396">
        <v>128901</v>
      </c>
      <c r="E42" s="398"/>
      <c r="F42" s="398">
        <v>440436</v>
      </c>
    </row>
    <row r="43" spans="1:6">
      <c r="A43" s="393" t="s">
        <v>761</v>
      </c>
      <c r="B43" s="394" t="s">
        <v>197</v>
      </c>
      <c r="C43" s="396"/>
      <c r="D43" s="396">
        <v>0</v>
      </c>
      <c r="E43" s="398"/>
      <c r="F43" s="398"/>
    </row>
    <row r="44" spans="1:6" ht="24.75" customHeight="1">
      <c r="A44" s="393" t="s">
        <v>762</v>
      </c>
      <c r="B44" s="394" t="s">
        <v>198</v>
      </c>
      <c r="C44" s="396"/>
      <c r="D44" s="396"/>
      <c r="E44" s="398"/>
      <c r="F44" s="398"/>
    </row>
    <row r="45" spans="1:6" ht="30" customHeight="1">
      <c r="A45" s="393" t="s">
        <v>763</v>
      </c>
      <c r="B45" s="394" t="s">
        <v>199</v>
      </c>
      <c r="C45" s="396">
        <v>0</v>
      </c>
      <c r="D45" s="396">
        <v>-128901</v>
      </c>
      <c r="E45" s="398"/>
      <c r="F45" s="398">
        <v>-440436</v>
      </c>
    </row>
    <row r="46" spans="1:6">
      <c r="A46" s="388"/>
      <c r="B46" s="388"/>
      <c r="C46" s="389"/>
      <c r="D46" s="389"/>
      <c r="E46" s="389"/>
      <c r="F46" s="389"/>
    </row>
    <row r="47" spans="1:6">
      <c r="A47" s="388"/>
      <c r="B47" s="388"/>
      <c r="C47" s="389"/>
      <c r="D47" s="389"/>
      <c r="E47" s="389"/>
      <c r="F47" s="389"/>
    </row>
    <row r="48" spans="1:6" ht="15" customHeight="1">
      <c r="A48" s="388"/>
      <c r="B48" s="388"/>
      <c r="C48" s="389"/>
      <c r="D48" s="389"/>
      <c r="E48" s="389"/>
      <c r="F48" s="389"/>
    </row>
    <row r="49" spans="1:6" hidden="1">
      <c r="A49" s="388"/>
      <c r="B49" s="388"/>
      <c r="C49" s="389"/>
      <c r="D49" s="389"/>
      <c r="E49" s="389"/>
      <c r="F49" s="389"/>
    </row>
    <row r="50" spans="1:6" hidden="1">
      <c r="A50" s="388"/>
      <c r="B50" s="388"/>
      <c r="C50" s="389"/>
      <c r="D50" s="389"/>
      <c r="E50" s="389"/>
      <c r="F50" s="389"/>
    </row>
    <row r="51" spans="1:6" ht="10.5" customHeight="1">
      <c r="A51" s="388"/>
      <c r="B51" s="388"/>
      <c r="C51" s="389"/>
      <c r="D51" s="389"/>
      <c r="E51" s="389"/>
      <c r="F51" s="389"/>
    </row>
    <row r="52" spans="1:6" ht="28.5" hidden="1" customHeight="1">
      <c r="A52" s="388"/>
      <c r="B52" s="388"/>
      <c r="C52" s="389"/>
      <c r="D52" s="389"/>
      <c r="E52" s="389"/>
      <c r="F52" s="389"/>
    </row>
    <row r="53" spans="1:6" ht="25.5" hidden="1" customHeight="1"/>
    <row r="54" spans="1:6" ht="26.25" hidden="1" customHeight="1"/>
    <row r="55" spans="1:6" ht="12.75" customHeight="1">
      <c r="A55" s="400" t="s">
        <v>764</v>
      </c>
      <c r="B55" s="400"/>
      <c r="C55" s="400"/>
      <c r="D55" s="400"/>
      <c r="E55" s="401"/>
      <c r="F55" s="401"/>
    </row>
    <row r="56" spans="1:6">
      <c r="A56" s="402"/>
      <c r="B56" s="402"/>
      <c r="C56" s="402"/>
      <c r="D56" s="402"/>
      <c r="E56" s="401"/>
      <c r="F56" s="401"/>
    </row>
    <row r="57" spans="1:6" ht="49.5" customHeight="1">
      <c r="A57" s="403" t="s">
        <v>734</v>
      </c>
      <c r="B57" s="404" t="s">
        <v>735</v>
      </c>
      <c r="C57" s="404" t="s">
        <v>765</v>
      </c>
      <c r="D57" s="404" t="s">
        <v>766</v>
      </c>
      <c r="E57" s="401"/>
      <c r="F57" s="401"/>
    </row>
    <row r="58" spans="1:6" ht="26.4">
      <c r="A58" s="405" t="s">
        <v>767</v>
      </c>
      <c r="B58" s="406" t="s">
        <v>768</v>
      </c>
      <c r="C58" s="396">
        <v>0</v>
      </c>
      <c r="D58" s="396">
        <v>88266</v>
      </c>
      <c r="E58" s="374"/>
      <c r="F58" s="374"/>
    </row>
    <row r="59" spans="1:6" ht="26.4">
      <c r="A59" s="405" t="s">
        <v>769</v>
      </c>
      <c r="B59" s="406" t="s">
        <v>200</v>
      </c>
      <c r="C59" s="396">
        <v>65034</v>
      </c>
      <c r="D59" s="396">
        <v>60246</v>
      </c>
      <c r="E59" s="374"/>
      <c r="F59" s="374"/>
    </row>
    <row r="60" spans="1:6" ht="26.4">
      <c r="A60" s="405" t="s">
        <v>770</v>
      </c>
      <c r="B60" s="406" t="s">
        <v>771</v>
      </c>
      <c r="C60" s="396">
        <v>100</v>
      </c>
      <c r="D60" s="396">
        <v>100</v>
      </c>
      <c r="E60" s="374"/>
      <c r="F60" s="374"/>
    </row>
    <row r="61" spans="1:6" ht="26.4">
      <c r="A61" s="405" t="s">
        <v>772</v>
      </c>
      <c r="B61" s="406" t="s">
        <v>773</v>
      </c>
      <c r="C61" s="396">
        <v>0</v>
      </c>
      <c r="D61" s="396">
        <v>0</v>
      </c>
      <c r="E61" s="374"/>
      <c r="F61" s="374"/>
    </row>
    <row r="62" spans="1:6">
      <c r="A62" s="405" t="s">
        <v>774</v>
      </c>
      <c r="B62" s="406" t="s">
        <v>775</v>
      </c>
      <c r="C62" s="396">
        <v>80088</v>
      </c>
      <c r="D62" s="396">
        <v>154155</v>
      </c>
      <c r="E62" s="374"/>
      <c r="F62" s="374"/>
    </row>
    <row r="63" spans="1:6">
      <c r="A63" s="405" t="s">
        <v>776</v>
      </c>
      <c r="B63" s="406" t="s">
        <v>777</v>
      </c>
      <c r="C63" s="396"/>
      <c r="D63" s="396"/>
      <c r="E63" s="374"/>
      <c r="F63" s="374"/>
    </row>
    <row r="64" spans="1:6" ht="26.4">
      <c r="A64" s="405" t="s">
        <v>778</v>
      </c>
      <c r="B64" s="406" t="s">
        <v>779</v>
      </c>
      <c r="C64" s="396">
        <v>0</v>
      </c>
      <c r="D64" s="396">
        <v>0</v>
      </c>
      <c r="E64" s="374"/>
      <c r="F64" s="374"/>
    </row>
    <row r="65" spans="1:6" ht="26.4">
      <c r="A65" s="405" t="s">
        <v>780</v>
      </c>
      <c r="B65" s="406" t="s">
        <v>781</v>
      </c>
      <c r="C65" s="396">
        <v>0</v>
      </c>
      <c r="D65" s="396">
        <v>900</v>
      </c>
      <c r="E65" s="374"/>
      <c r="F65" s="374"/>
    </row>
    <row r="66" spans="1:6" ht="26.4">
      <c r="A66" s="405" t="s">
        <v>782</v>
      </c>
      <c r="B66" s="406" t="s">
        <v>783</v>
      </c>
      <c r="C66" s="396">
        <v>83104</v>
      </c>
      <c r="D66" s="396">
        <v>110255</v>
      </c>
      <c r="E66" s="374"/>
      <c r="F66" s="374"/>
    </row>
    <row r="67" spans="1:6">
      <c r="A67" s="405" t="s">
        <v>784</v>
      </c>
      <c r="B67" s="406" t="s">
        <v>785</v>
      </c>
      <c r="C67" s="396">
        <v>573504</v>
      </c>
      <c r="D67" s="396">
        <v>435550</v>
      </c>
      <c r="E67" s="374"/>
      <c r="F67" s="374"/>
    </row>
    <row r="68" spans="1:6">
      <c r="A68" s="405" t="s">
        <v>2</v>
      </c>
      <c r="B68" s="406" t="s">
        <v>786</v>
      </c>
      <c r="C68" s="396">
        <v>0</v>
      </c>
      <c r="D68" s="396">
        <v>47832</v>
      </c>
      <c r="E68" s="374"/>
      <c r="F68" s="374"/>
    </row>
    <row r="69" spans="1:6">
      <c r="A69" s="405" t="s">
        <v>787</v>
      </c>
      <c r="B69" s="406" t="s">
        <v>788</v>
      </c>
      <c r="C69" s="396"/>
      <c r="D69" s="396"/>
      <c r="E69" s="374"/>
      <c r="F69" s="374"/>
    </row>
    <row r="70" spans="1:6">
      <c r="A70" s="405" t="s">
        <v>789</v>
      </c>
      <c r="B70" s="406" t="s">
        <v>790</v>
      </c>
      <c r="C70" s="396"/>
      <c r="D70" s="396"/>
      <c r="E70" s="374"/>
      <c r="F70" s="374"/>
    </row>
    <row r="71" spans="1:6">
      <c r="A71" s="405" t="s">
        <v>791</v>
      </c>
      <c r="B71" s="406" t="s">
        <v>792</v>
      </c>
      <c r="C71" s="396" t="s">
        <v>592</v>
      </c>
      <c r="D71" s="396">
        <v>0</v>
      </c>
      <c r="E71" s="374"/>
      <c r="F71" s="374"/>
    </row>
    <row r="72" spans="1:6" ht="26.4">
      <c r="A72" s="405" t="s">
        <v>793</v>
      </c>
      <c r="B72" s="406" t="s">
        <v>794</v>
      </c>
      <c r="C72" s="396"/>
      <c r="D72" s="396"/>
      <c r="E72" s="374"/>
      <c r="F72" s="374"/>
    </row>
    <row r="73" spans="1:6">
      <c r="A73" s="405" t="s">
        <v>3</v>
      </c>
      <c r="B73" s="406" t="s">
        <v>795</v>
      </c>
      <c r="C73" s="396">
        <v>22901</v>
      </c>
      <c r="D73" s="396">
        <v>37591</v>
      </c>
      <c r="E73" s="374"/>
      <c r="F73" s="374"/>
    </row>
    <row r="74" spans="1:6" ht="79.2">
      <c r="A74" s="405" t="s">
        <v>796</v>
      </c>
      <c r="B74" s="406" t="s">
        <v>797</v>
      </c>
      <c r="C74" s="396"/>
      <c r="D74" s="396"/>
      <c r="E74" s="374"/>
      <c r="F74" s="374"/>
    </row>
    <row r="75" spans="1:6" ht="39.6">
      <c r="A75" s="405" t="s">
        <v>798</v>
      </c>
      <c r="B75" s="406" t="s">
        <v>799</v>
      </c>
      <c r="C75" s="396">
        <v>65944</v>
      </c>
      <c r="D75" s="396">
        <v>65334</v>
      </c>
      <c r="E75" s="374"/>
      <c r="F75" s="374"/>
    </row>
    <row r="76" spans="1:6">
      <c r="A76" s="405" t="s">
        <v>800</v>
      </c>
      <c r="B76" s="406" t="s">
        <v>801</v>
      </c>
      <c r="C76" s="396"/>
      <c r="D76" s="396"/>
      <c r="E76" s="374"/>
      <c r="F76" s="374"/>
    </row>
    <row r="77" spans="1:6">
      <c r="A77" s="405" t="s">
        <v>802</v>
      </c>
      <c r="B77" s="406" t="s">
        <v>803</v>
      </c>
      <c r="C77" s="396">
        <v>433</v>
      </c>
      <c r="D77" s="396"/>
      <c r="E77" s="374"/>
      <c r="F77" s="374"/>
    </row>
    <row r="78" spans="1:6" ht="26.4">
      <c r="A78" s="405" t="s">
        <v>0</v>
      </c>
      <c r="B78" s="406" t="s">
        <v>804</v>
      </c>
      <c r="C78" s="396"/>
      <c r="D78" s="396">
        <v>90062</v>
      </c>
      <c r="E78" s="374"/>
      <c r="F78" s="374"/>
    </row>
    <row r="79" spans="1:6" ht="26.4">
      <c r="A79" s="405" t="s">
        <v>805</v>
      </c>
      <c r="B79" s="406" t="s">
        <v>806</v>
      </c>
      <c r="C79" s="396">
        <v>891008</v>
      </c>
      <c r="D79" s="396">
        <v>1090191</v>
      </c>
      <c r="E79" s="374"/>
      <c r="F79" s="374"/>
    </row>
    <row r="80" spans="1:6">
      <c r="C80" s="407"/>
      <c r="D80" s="407">
        <v>0</v>
      </c>
      <c r="E80" s="374"/>
      <c r="F80" s="374"/>
    </row>
    <row r="81" spans="1:6">
      <c r="A81" s="408" t="s">
        <v>594</v>
      </c>
      <c r="C81" s="407"/>
      <c r="D81" s="407"/>
      <c r="E81" s="374"/>
      <c r="F81" s="374"/>
    </row>
    <row r="82" spans="1:6">
      <c r="A82" s="409"/>
      <c r="C82" s="407"/>
      <c r="D82" s="407"/>
      <c r="E82" s="374"/>
      <c r="F82" s="374"/>
    </row>
    <row r="83" spans="1:6">
      <c r="A83" s="388" t="s">
        <v>512</v>
      </c>
      <c r="C83" s="407"/>
      <c r="D83" s="407"/>
      <c r="E83" s="374"/>
      <c r="F83" s="374"/>
    </row>
    <row r="88" spans="1:6" ht="146.25" customHeight="1"/>
  </sheetData>
  <mergeCells count="7">
    <mergeCell ref="A3:F3"/>
    <mergeCell ref="A55:D55"/>
    <mergeCell ref="A56:D56"/>
    <mergeCell ref="A17:A18"/>
    <mergeCell ref="B17:B18"/>
    <mergeCell ref="C17:D17"/>
    <mergeCell ref="E17:F17"/>
  </mergeCells>
  <phoneticPr fontId="5" type="noConversion"/>
  <pageMargins left="0.24" right="7.874015748031496E-2" top="0.36" bottom="0.2" header="0.2" footer="0.35"/>
  <pageSetup paperSize="9" scale="85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4">
    <tabColor rgb="FF00B0F0"/>
  </sheetPr>
  <dimension ref="A1"/>
  <sheetViews>
    <sheetView workbookViewId="0"/>
  </sheetViews>
  <sheetFormatPr defaultRowHeight="13.2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5">
    <tabColor rgb="FF00B0F0"/>
  </sheetPr>
  <dimension ref="S1:BE224"/>
  <sheetViews>
    <sheetView topLeftCell="W56" zoomScale="130" zoomScaleNormal="130" zoomScaleSheetLayoutView="100" workbookViewId="0">
      <pane ySplit="492" topLeftCell="A74" activePane="bottomLeft"/>
      <selection activeCell="O17" sqref="N1:O65536"/>
      <selection pane="bottomLeft" activeCell="AH80" sqref="X75:AH80"/>
    </sheetView>
  </sheetViews>
  <sheetFormatPr defaultColWidth="9.109375" defaultRowHeight="13.2"/>
  <cols>
    <col min="25" max="25" width="7.44140625" customWidth="1"/>
    <col min="26" max="29" width="9.109375" hidden="1" customWidth="1"/>
    <col min="30" max="30" width="4.5546875" hidden="1" customWidth="1"/>
    <col min="31" max="31" width="9.5546875" customWidth="1"/>
    <col min="32" max="32" width="17.33203125" customWidth="1"/>
    <col min="34" max="34" width="11.88671875" customWidth="1"/>
    <col min="35" max="35" width="10.6640625" customWidth="1"/>
    <col min="36" max="36" width="10.44140625" customWidth="1"/>
    <col min="37" max="37" width="11.5546875" customWidth="1"/>
    <col min="38" max="38" width="16.44140625" customWidth="1"/>
    <col min="39" max="39" width="15.33203125" hidden="1" customWidth="1"/>
    <col min="40" max="40" width="4.109375" hidden="1" customWidth="1"/>
    <col min="41" max="41" width="9.109375" hidden="1" customWidth="1"/>
    <col min="42" max="42" width="12.109375" hidden="1" customWidth="1"/>
    <col min="43" max="43" width="12.88671875" hidden="1" customWidth="1"/>
    <col min="44" max="44" width="9.109375" hidden="1" customWidth="1"/>
    <col min="45" max="45" width="11.33203125" hidden="1" customWidth="1"/>
    <col min="46" max="46" width="9.88671875" hidden="1" customWidth="1"/>
    <col min="47" max="47" width="13.5546875" hidden="1" customWidth="1"/>
    <col min="48" max="57" width="9.109375" hidden="1" customWidth="1"/>
  </cols>
  <sheetData>
    <row r="1" spans="30:47">
      <c r="AG1" s="42"/>
      <c r="AH1" s="42"/>
      <c r="AI1" s="42"/>
      <c r="AJ1" s="42"/>
      <c r="AK1" s="42" t="s">
        <v>544</v>
      </c>
      <c r="AL1" s="42"/>
    </row>
    <row r="2" spans="30:47" ht="13.8">
      <c r="AD2" s="314" t="s">
        <v>240</v>
      </c>
      <c r="AE2" s="314"/>
      <c r="AF2" s="314"/>
      <c r="AG2" s="314"/>
      <c r="AH2" s="314"/>
      <c r="AI2" s="314"/>
      <c r="AJ2" s="314"/>
      <c r="AK2" s="314"/>
      <c r="AL2" s="314"/>
      <c r="AM2" s="314"/>
    </row>
    <row r="3" spans="30:47" ht="13.8">
      <c r="AD3" s="314" t="s">
        <v>172</v>
      </c>
      <c r="AE3" s="314"/>
      <c r="AF3" s="314"/>
      <c r="AG3" s="314"/>
      <c r="AH3" s="314"/>
      <c r="AI3" s="314"/>
      <c r="AJ3" s="314"/>
      <c r="AK3" s="314"/>
      <c r="AL3" s="314"/>
      <c r="AM3" s="314"/>
    </row>
    <row r="5" spans="30:47" ht="58.5" customHeight="1">
      <c r="AD5" s="313" t="s">
        <v>561</v>
      </c>
      <c r="AE5" s="313" t="s">
        <v>562</v>
      </c>
      <c r="AF5" s="313" t="s">
        <v>563</v>
      </c>
      <c r="AG5" s="313" t="s">
        <v>564</v>
      </c>
      <c r="AH5" s="313" t="s">
        <v>565</v>
      </c>
      <c r="AI5" s="313" t="s">
        <v>568</v>
      </c>
      <c r="AJ5" s="313" t="s">
        <v>252</v>
      </c>
      <c r="AK5" s="313" t="s">
        <v>566</v>
      </c>
      <c r="AL5" s="313" t="s">
        <v>567</v>
      </c>
      <c r="AM5" s="313"/>
      <c r="AP5" t="s">
        <v>99</v>
      </c>
    </row>
    <row r="6" spans="30:47" ht="42" customHeight="1">
      <c r="AD6" s="313"/>
      <c r="AE6" s="313"/>
      <c r="AF6" s="313"/>
      <c r="AG6" s="313"/>
      <c r="AH6" s="313"/>
      <c r="AI6" s="313"/>
      <c r="AJ6" s="313"/>
      <c r="AK6" s="313"/>
      <c r="AL6" s="310" t="s">
        <v>425</v>
      </c>
      <c r="AM6" s="310" t="s">
        <v>426</v>
      </c>
      <c r="AO6" s="217" t="s">
        <v>366</v>
      </c>
      <c r="AP6" s="217" t="s">
        <v>96</v>
      </c>
      <c r="AQ6" s="217"/>
    </row>
    <row r="7" spans="30:47" ht="15.75" customHeight="1">
      <c r="AD7" s="312">
        <v>1</v>
      </c>
      <c r="AE7" s="312">
        <v>2</v>
      </c>
      <c r="AF7" s="312">
        <v>3</v>
      </c>
      <c r="AG7" s="312">
        <v>4</v>
      </c>
      <c r="AH7" s="312">
        <v>5</v>
      </c>
      <c r="AI7" s="312">
        <v>6</v>
      </c>
      <c r="AJ7" s="312">
        <v>7</v>
      </c>
      <c r="AK7" s="312">
        <v>8</v>
      </c>
      <c r="AL7" s="312">
        <v>9</v>
      </c>
      <c r="AM7" s="312">
        <v>10</v>
      </c>
      <c r="AO7" s="217"/>
      <c r="AP7" s="217"/>
      <c r="AQ7" s="217"/>
    </row>
    <row r="8" spans="30:47" ht="14.25" customHeight="1">
      <c r="AD8" s="8">
        <v>1</v>
      </c>
      <c r="AE8" s="8" t="s">
        <v>614</v>
      </c>
      <c r="AF8" s="207" t="s">
        <v>366</v>
      </c>
      <c r="AG8" s="188">
        <f>AO8</f>
        <v>1211.5999999999999</v>
      </c>
      <c r="AH8" s="188">
        <f>ROUND(AK8*93%,0)</f>
        <v>11775765</v>
      </c>
      <c r="AI8" s="188">
        <f>AJ8+AK8</f>
        <v>12662112.6</v>
      </c>
      <c r="AJ8" s="188"/>
      <c r="AK8" s="188">
        <f>AP8</f>
        <v>12662112.6</v>
      </c>
      <c r="AL8" s="188">
        <f>AK8-AH8</f>
        <v>886347.59999999963</v>
      </c>
      <c r="AM8" s="188"/>
      <c r="AO8" s="188">
        <f>696+515.6</f>
        <v>1211.5999999999999</v>
      </c>
      <c r="AP8" s="188">
        <f>7280876+5381236.6</f>
        <v>12662112.6</v>
      </c>
      <c r="AQ8" s="188">
        <f>AK8-AP8</f>
        <v>0</v>
      </c>
    </row>
    <row r="9" spans="30:47" ht="14.25" customHeight="1">
      <c r="AD9" s="8"/>
      <c r="AE9" s="8" t="s">
        <v>635</v>
      </c>
      <c r="AF9" s="207" t="s">
        <v>366</v>
      </c>
      <c r="AG9" s="188"/>
      <c r="AH9" s="188">
        <f t="shared" ref="AH9:AH18" si="0">ROUND(AK9*98%,0)</f>
        <v>0</v>
      </c>
      <c r="AI9" s="188">
        <f t="shared" ref="AI9:AI18" si="1">AJ9+AK9</f>
        <v>0</v>
      </c>
      <c r="AJ9" s="188"/>
      <c r="AK9" s="188">
        <f>AP9</f>
        <v>0</v>
      </c>
      <c r="AL9" s="188">
        <f>AK9-AH9</f>
        <v>0</v>
      </c>
      <c r="AM9" s="188"/>
      <c r="AO9" s="188"/>
      <c r="AP9" s="188"/>
      <c r="AQ9" s="188">
        <f>AK9-AP9</f>
        <v>0</v>
      </c>
    </row>
    <row r="10" spans="30:47" ht="14.25" customHeight="1">
      <c r="AD10" s="8"/>
      <c r="AE10" s="8" t="s">
        <v>365</v>
      </c>
      <c r="AF10" s="207" t="s">
        <v>366</v>
      </c>
      <c r="AG10" s="188"/>
      <c r="AH10" s="188">
        <f t="shared" si="0"/>
        <v>0</v>
      </c>
      <c r="AI10" s="188">
        <f t="shared" si="1"/>
        <v>0</v>
      </c>
      <c r="AJ10" s="188"/>
      <c r="AK10" s="188">
        <f>AP10</f>
        <v>0</v>
      </c>
      <c r="AL10" s="188">
        <f>AK10-AH10</f>
        <v>0</v>
      </c>
      <c r="AM10" s="188"/>
      <c r="AO10" s="188"/>
      <c r="AP10" s="188"/>
      <c r="AQ10" s="188">
        <f>AK10-AP10</f>
        <v>0</v>
      </c>
    </row>
    <row r="11" spans="30:47" ht="14.25" customHeight="1">
      <c r="AD11" s="8"/>
      <c r="AE11" s="8" t="s">
        <v>531</v>
      </c>
      <c r="AF11" s="207" t="s">
        <v>366</v>
      </c>
      <c r="AG11" s="188"/>
      <c r="AH11" s="188">
        <f t="shared" si="0"/>
        <v>0</v>
      </c>
      <c r="AI11" s="188">
        <f t="shared" si="1"/>
        <v>0</v>
      </c>
      <c r="AJ11" s="188"/>
      <c r="AK11" s="188">
        <f>AP11</f>
        <v>0</v>
      </c>
      <c r="AL11" s="188">
        <f>AK11-AH11</f>
        <v>0</v>
      </c>
      <c r="AM11" s="188"/>
      <c r="AO11" s="188"/>
      <c r="AP11" s="188"/>
      <c r="AQ11" s="188">
        <f>AK11-AP11</f>
        <v>0</v>
      </c>
    </row>
    <row r="12" spans="30:47" ht="14.25" customHeight="1">
      <c r="AD12" s="8"/>
      <c r="AE12" s="8" t="s">
        <v>223</v>
      </c>
      <c r="AF12" s="207" t="s">
        <v>366</v>
      </c>
      <c r="AG12" s="188"/>
      <c r="AH12" s="188">
        <f t="shared" si="0"/>
        <v>0</v>
      </c>
      <c r="AI12" s="188">
        <f t="shared" si="1"/>
        <v>0</v>
      </c>
      <c r="AJ12" s="188"/>
      <c r="AK12" s="188">
        <f>AP12</f>
        <v>0</v>
      </c>
      <c r="AL12" s="188">
        <f>AK12-AH12</f>
        <v>0</v>
      </c>
      <c r="AM12" s="188"/>
      <c r="AO12" s="188"/>
      <c r="AP12" s="188"/>
      <c r="AQ12" s="188">
        <f>AK12-AP12</f>
        <v>0</v>
      </c>
    </row>
    <row r="13" spans="30:47" s="9" customFormat="1" ht="14.25" customHeight="1">
      <c r="AD13" s="31"/>
      <c r="AE13" s="31" t="s">
        <v>203</v>
      </c>
      <c r="AF13" s="92"/>
      <c r="AG13" s="52">
        <f>SUM(AG8:AG12)</f>
        <v>1211.5999999999999</v>
      </c>
      <c r="AH13" s="52">
        <f t="shared" ref="AH13:AM13" si="2">SUM(AH8:AH12)</f>
        <v>11775765</v>
      </c>
      <c r="AI13" s="52">
        <f t="shared" si="2"/>
        <v>12662112.6</v>
      </c>
      <c r="AJ13" s="52">
        <f t="shared" si="2"/>
        <v>0</v>
      </c>
      <c r="AK13" s="52">
        <f t="shared" si="2"/>
        <v>12662112.6</v>
      </c>
      <c r="AL13" s="52">
        <f t="shared" si="2"/>
        <v>886347.59999999963</v>
      </c>
      <c r="AM13" s="52">
        <f t="shared" si="2"/>
        <v>0</v>
      </c>
      <c r="AO13" s="52">
        <f>SUM(AO8:AO12)</f>
        <v>1211.5999999999999</v>
      </c>
      <c r="AP13" s="52">
        <f>SUM(AP8:AP12)</f>
        <v>12662112.6</v>
      </c>
      <c r="AQ13" s="52">
        <f>SUM(AQ8:AQ12)</f>
        <v>0</v>
      </c>
      <c r="AR13" s="9" t="s">
        <v>173</v>
      </c>
    </row>
    <row r="14" spans="30:47" ht="14.25" customHeight="1">
      <c r="AD14" s="8">
        <v>1</v>
      </c>
      <c r="AE14" s="8" t="s">
        <v>671</v>
      </c>
      <c r="AF14" s="207" t="s">
        <v>366</v>
      </c>
      <c r="AG14" s="188">
        <f>AO14+AR14</f>
        <v>1888.3630000000001</v>
      </c>
      <c r="AH14" s="188">
        <f>ROUND(AK14*93%,0)</f>
        <v>18287208</v>
      </c>
      <c r="AI14" s="188">
        <f t="shared" si="1"/>
        <v>23583313.526199996</v>
      </c>
      <c r="AJ14" s="188">
        <f>3842690+AT14</f>
        <v>3919649.3991299998</v>
      </c>
      <c r="AK14" s="188">
        <f>AP14+AS14</f>
        <v>19663664.127069999</v>
      </c>
      <c r="AL14" s="188">
        <f>AK14-AH14</f>
        <v>1376456.1270699985</v>
      </c>
      <c r="AM14" s="188"/>
      <c r="AO14" s="188">
        <v>1845</v>
      </c>
      <c r="AP14" s="188">
        <v>19213448</v>
      </c>
      <c r="AQ14" s="188">
        <f>AK14-AP14</f>
        <v>450216.12706999853</v>
      </c>
      <c r="AR14" s="188">
        <v>43.363</v>
      </c>
      <c r="AS14" s="188">
        <v>450216.12706999999</v>
      </c>
      <c r="AT14" s="188">
        <v>76959.399129999991</v>
      </c>
      <c r="AU14" s="188">
        <v>527175.52620000008</v>
      </c>
    </row>
    <row r="15" spans="30:47" ht="14.25" customHeight="1">
      <c r="AD15" s="8"/>
      <c r="AE15" s="8" t="s">
        <v>635</v>
      </c>
      <c r="AF15" s="207" t="s">
        <v>366</v>
      </c>
      <c r="AG15" s="188">
        <f>AO15+AR15</f>
        <v>1118.5240000000001</v>
      </c>
      <c r="AH15" s="188">
        <f>ROUND(AK15*94%,0)</f>
        <v>10572667</v>
      </c>
      <c r="AI15" s="188">
        <f t="shared" si="1"/>
        <v>13419992.09919</v>
      </c>
      <c r="AJ15" s="188">
        <f>1748016+AT15</f>
        <v>2172473.64855</v>
      </c>
      <c r="AK15" s="188">
        <f>AP15+AS15</f>
        <v>11247518.45064</v>
      </c>
      <c r="AL15" s="188">
        <f>AK15-AH15</f>
        <v>674851.4506400004</v>
      </c>
      <c r="AM15" s="188"/>
      <c r="AO15" s="188">
        <v>869.82</v>
      </c>
      <c r="AP15" s="188">
        <v>8740080</v>
      </c>
      <c r="AQ15" s="188">
        <f>AK15-AP15</f>
        <v>2507438.4506400004</v>
      </c>
      <c r="AR15" s="188">
        <v>248.70400000000001</v>
      </c>
      <c r="AS15" s="188">
        <v>2507438.4506399999</v>
      </c>
      <c r="AT15" s="188">
        <v>424457.64854999998</v>
      </c>
      <c r="AU15" s="188">
        <v>2931896.09919</v>
      </c>
    </row>
    <row r="16" spans="30:47" ht="14.25" customHeight="1">
      <c r="AD16" s="8"/>
      <c r="AE16" s="8" t="s">
        <v>365</v>
      </c>
      <c r="AF16" s="207" t="s">
        <v>366</v>
      </c>
      <c r="AG16" s="188">
        <f>AO16+AR16</f>
        <v>189.55799999999999</v>
      </c>
      <c r="AH16" s="188">
        <f>ROUND(AK16*96%,0)</f>
        <v>1789859</v>
      </c>
      <c r="AI16" s="188">
        <f t="shared" si="1"/>
        <v>2217330.4820000003</v>
      </c>
      <c r="AJ16" s="188">
        <f>244910+AT16</f>
        <v>352894.03103000001</v>
      </c>
      <c r="AK16" s="188">
        <f>AP16+AS16</f>
        <v>1864436.4509700001</v>
      </c>
      <c r="AL16" s="188">
        <f>AK16-AH16</f>
        <v>74577.450970000122</v>
      </c>
      <c r="AM16" s="188"/>
      <c r="AO16" s="188">
        <v>124.536</v>
      </c>
      <c r="AP16" s="188">
        <v>1224548</v>
      </c>
      <c r="AQ16" s="188">
        <f>AK16-AP16</f>
        <v>639888.45097000012</v>
      </c>
      <c r="AR16" s="188">
        <v>65.022000000000006</v>
      </c>
      <c r="AS16" s="188">
        <v>639888.45097000001</v>
      </c>
      <c r="AT16" s="188">
        <v>107984.03103</v>
      </c>
      <c r="AU16" s="188">
        <v>747872.48199999996</v>
      </c>
    </row>
    <row r="17" spans="30:47" ht="14.25" customHeight="1">
      <c r="AD17" s="8"/>
      <c r="AE17" s="8" t="s">
        <v>531</v>
      </c>
      <c r="AF17" s="207" t="s">
        <v>366</v>
      </c>
      <c r="AG17" s="188">
        <f>AO17+AR17</f>
        <v>0</v>
      </c>
      <c r="AH17" s="188">
        <f t="shared" si="0"/>
        <v>0</v>
      </c>
      <c r="AI17" s="188">
        <f t="shared" si="1"/>
        <v>0</v>
      </c>
      <c r="AJ17" s="188">
        <v>0</v>
      </c>
      <c r="AK17" s="188">
        <f>AP17+AS17</f>
        <v>0</v>
      </c>
      <c r="AL17" s="188">
        <f>AK17-AH17</f>
        <v>0</v>
      </c>
      <c r="AM17" s="188"/>
      <c r="AO17" s="188">
        <v>0</v>
      </c>
      <c r="AP17" s="188">
        <v>0</v>
      </c>
      <c r="AQ17" s="188">
        <f>AK17-AP17</f>
        <v>0</v>
      </c>
      <c r="AR17" s="188">
        <v>0</v>
      </c>
      <c r="AS17" s="188">
        <v>0</v>
      </c>
      <c r="AT17" s="188">
        <f>(AS17*0.15)/1000</f>
        <v>0</v>
      </c>
      <c r="AU17" s="188">
        <f>(AS17+AT17)/1000</f>
        <v>0</v>
      </c>
    </row>
    <row r="18" spans="30:47" ht="14.25" customHeight="1">
      <c r="AD18" s="8"/>
      <c r="AE18" s="8" t="s">
        <v>223</v>
      </c>
      <c r="AF18" s="207" t="s">
        <v>366</v>
      </c>
      <c r="AG18" s="188">
        <f>AO18+AR18</f>
        <v>566.89699999999993</v>
      </c>
      <c r="AH18" s="188">
        <f t="shared" si="0"/>
        <v>2861086</v>
      </c>
      <c r="AI18" s="188">
        <f t="shared" si="1"/>
        <v>3483073.09693</v>
      </c>
      <c r="AJ18" s="188">
        <f>502706+AT18</f>
        <v>563597.69090000005</v>
      </c>
      <c r="AK18" s="188">
        <f>AP18+AS18</f>
        <v>2919475.4060299997</v>
      </c>
      <c r="AL18" s="188">
        <f>AK18-AH18</f>
        <v>58389.406029999722</v>
      </c>
      <c r="AM18" s="188"/>
      <c r="AO18" s="188">
        <f>394+94.7</f>
        <v>488.7</v>
      </c>
      <c r="AP18" s="188">
        <f>2022888+490642.8</f>
        <v>2513530.7999999998</v>
      </c>
      <c r="AQ18" s="188">
        <f>AK18-AP18</f>
        <v>405944.60602999991</v>
      </c>
      <c r="AR18" s="188">
        <v>78.197000000000003</v>
      </c>
      <c r="AS18" s="188">
        <v>405944.60602999997</v>
      </c>
      <c r="AT18" s="188">
        <v>60891.690900000009</v>
      </c>
      <c r="AU18" s="188">
        <v>466836.29693000001</v>
      </c>
    </row>
    <row r="19" spans="30:47" s="9" customFormat="1" ht="14.25" customHeight="1">
      <c r="AD19" s="31"/>
      <c r="AE19" s="31" t="s">
        <v>203</v>
      </c>
      <c r="AF19" s="92"/>
      <c r="AG19" s="52">
        <f t="shared" ref="AG19:AS19" si="3">SUM(AG14:AG18)</f>
        <v>3763.3420000000001</v>
      </c>
      <c r="AH19" s="52">
        <f t="shared" si="3"/>
        <v>33510820</v>
      </c>
      <c r="AI19" s="52">
        <f t="shared" si="3"/>
        <v>42703709.204319991</v>
      </c>
      <c r="AJ19" s="52">
        <f t="shared" si="3"/>
        <v>7008614.7696099998</v>
      </c>
      <c r="AK19" s="52">
        <f t="shared" si="3"/>
        <v>35695094.434710003</v>
      </c>
      <c r="AL19" s="52">
        <f t="shared" si="3"/>
        <v>2184274.4347099988</v>
      </c>
      <c r="AM19" s="52">
        <f t="shared" si="3"/>
        <v>0</v>
      </c>
      <c r="AO19" s="52">
        <f t="shared" si="3"/>
        <v>3328.056</v>
      </c>
      <c r="AP19" s="52">
        <f t="shared" si="3"/>
        <v>31691606.800000001</v>
      </c>
      <c r="AQ19" s="52">
        <f t="shared" si="3"/>
        <v>4003487.634709999</v>
      </c>
      <c r="AR19" s="52">
        <f t="shared" si="3"/>
        <v>435.286</v>
      </c>
      <c r="AS19" s="52">
        <f t="shared" si="3"/>
        <v>4003487.6347099999</v>
      </c>
      <c r="AT19" s="52">
        <f>SUM(AT14:AT18)</f>
        <v>670292.76960999996</v>
      </c>
      <c r="AU19" s="52">
        <f>SUM(AU14:AU18)</f>
        <v>4673780.4043200007</v>
      </c>
    </row>
    <row r="20" spans="30:47" ht="14.25" customHeight="1">
      <c r="AD20" s="8">
        <v>1</v>
      </c>
      <c r="AE20" s="8" t="s">
        <v>434</v>
      </c>
      <c r="AF20" s="207" t="s">
        <v>366</v>
      </c>
      <c r="AG20" s="188">
        <f t="shared" ref="AG20:AM24" si="4">+AG8+AG14</f>
        <v>3099.9629999999997</v>
      </c>
      <c r="AH20" s="188">
        <f t="shared" si="4"/>
        <v>30062973</v>
      </c>
      <c r="AI20" s="188">
        <f t="shared" si="4"/>
        <v>36245426.126199998</v>
      </c>
      <c r="AJ20" s="188">
        <f t="shared" si="4"/>
        <v>3919649.3991299998</v>
      </c>
      <c r="AK20" s="188">
        <f t="shared" si="4"/>
        <v>32325776.727069996</v>
      </c>
      <c r="AL20" s="188">
        <f t="shared" si="4"/>
        <v>2262803.7270699982</v>
      </c>
      <c r="AM20" s="188">
        <f t="shared" si="4"/>
        <v>0</v>
      </c>
      <c r="AO20" s="188">
        <f t="shared" ref="AO20:AQ24" si="5">+AO8+AO14</f>
        <v>3056.6</v>
      </c>
      <c r="AP20" s="188">
        <f t="shared" si="5"/>
        <v>31875560.600000001</v>
      </c>
      <c r="AQ20" s="188">
        <f t="shared" si="5"/>
        <v>450216.12706999853</v>
      </c>
    </row>
    <row r="21" spans="30:47" ht="14.25" customHeight="1">
      <c r="AD21" s="8"/>
      <c r="AE21" s="8" t="s">
        <v>635</v>
      </c>
      <c r="AF21" s="207" t="s">
        <v>366</v>
      </c>
      <c r="AG21" s="188">
        <f t="shared" si="4"/>
        <v>1118.5240000000001</v>
      </c>
      <c r="AH21" s="188">
        <f t="shared" si="4"/>
        <v>10572667</v>
      </c>
      <c r="AI21" s="188">
        <f t="shared" si="4"/>
        <v>13419992.09919</v>
      </c>
      <c r="AJ21" s="188">
        <f t="shared" si="4"/>
        <v>2172473.64855</v>
      </c>
      <c r="AK21" s="188">
        <f t="shared" si="4"/>
        <v>11247518.45064</v>
      </c>
      <c r="AL21" s="188">
        <f t="shared" si="4"/>
        <v>674851.4506400004</v>
      </c>
      <c r="AM21" s="188">
        <f t="shared" si="4"/>
        <v>0</v>
      </c>
      <c r="AO21" s="188">
        <f t="shared" si="5"/>
        <v>869.82</v>
      </c>
      <c r="AP21" s="188">
        <f t="shared" si="5"/>
        <v>8740080</v>
      </c>
      <c r="AQ21" s="188">
        <f t="shared" si="5"/>
        <v>2507438.4506400004</v>
      </c>
    </row>
    <row r="22" spans="30:47" ht="14.25" customHeight="1">
      <c r="AD22" s="8"/>
      <c r="AE22" s="8" t="s">
        <v>365</v>
      </c>
      <c r="AF22" s="207" t="s">
        <v>366</v>
      </c>
      <c r="AG22" s="188">
        <f t="shared" si="4"/>
        <v>189.55799999999999</v>
      </c>
      <c r="AH22" s="188">
        <f t="shared" si="4"/>
        <v>1789859</v>
      </c>
      <c r="AI22" s="188">
        <f t="shared" si="4"/>
        <v>2217330.4820000003</v>
      </c>
      <c r="AJ22" s="188">
        <f t="shared" si="4"/>
        <v>352894.03103000001</v>
      </c>
      <c r="AK22" s="188">
        <f t="shared" si="4"/>
        <v>1864436.4509700001</v>
      </c>
      <c r="AL22" s="188">
        <f t="shared" si="4"/>
        <v>74577.450970000122</v>
      </c>
      <c r="AM22" s="188">
        <f t="shared" si="4"/>
        <v>0</v>
      </c>
      <c r="AO22" s="188">
        <f t="shared" si="5"/>
        <v>124.536</v>
      </c>
      <c r="AP22" s="188">
        <f t="shared" si="5"/>
        <v>1224548</v>
      </c>
      <c r="AQ22" s="188">
        <f t="shared" si="5"/>
        <v>639888.45097000012</v>
      </c>
    </row>
    <row r="23" spans="30:47" ht="14.25" customHeight="1">
      <c r="AD23" s="8"/>
      <c r="AE23" s="8" t="s">
        <v>531</v>
      </c>
      <c r="AF23" s="207" t="s">
        <v>366</v>
      </c>
      <c r="AG23" s="188">
        <f t="shared" si="4"/>
        <v>0</v>
      </c>
      <c r="AH23" s="188">
        <f t="shared" si="4"/>
        <v>0</v>
      </c>
      <c r="AI23" s="188">
        <f t="shared" si="4"/>
        <v>0</v>
      </c>
      <c r="AJ23" s="188">
        <f t="shared" si="4"/>
        <v>0</v>
      </c>
      <c r="AK23" s="188">
        <f t="shared" si="4"/>
        <v>0</v>
      </c>
      <c r="AL23" s="188">
        <f t="shared" si="4"/>
        <v>0</v>
      </c>
      <c r="AM23" s="188">
        <f t="shared" si="4"/>
        <v>0</v>
      </c>
      <c r="AO23" s="188">
        <f t="shared" si="5"/>
        <v>0</v>
      </c>
      <c r="AP23" s="188">
        <f t="shared" si="5"/>
        <v>0</v>
      </c>
      <c r="AQ23" s="188">
        <f t="shared" si="5"/>
        <v>0</v>
      </c>
    </row>
    <row r="24" spans="30:47" ht="14.25" customHeight="1">
      <c r="AD24" s="8"/>
      <c r="AE24" s="8" t="s">
        <v>223</v>
      </c>
      <c r="AF24" s="207" t="s">
        <v>366</v>
      </c>
      <c r="AG24" s="188">
        <f t="shared" si="4"/>
        <v>566.89699999999993</v>
      </c>
      <c r="AH24" s="188">
        <f t="shared" si="4"/>
        <v>2861086</v>
      </c>
      <c r="AI24" s="188">
        <f t="shared" si="4"/>
        <v>3483073.09693</v>
      </c>
      <c r="AJ24" s="188">
        <f t="shared" si="4"/>
        <v>563597.69090000005</v>
      </c>
      <c r="AK24" s="188">
        <f t="shared" si="4"/>
        <v>2919475.4060299997</v>
      </c>
      <c r="AL24" s="188">
        <f t="shared" si="4"/>
        <v>58389.406029999722</v>
      </c>
      <c r="AM24" s="188">
        <f t="shared" si="4"/>
        <v>0</v>
      </c>
      <c r="AO24" s="188">
        <f t="shared" si="5"/>
        <v>488.7</v>
      </c>
      <c r="AP24" s="188">
        <f t="shared" si="5"/>
        <v>2513530.7999999998</v>
      </c>
      <c r="AQ24" s="188">
        <f t="shared" si="5"/>
        <v>405944.60602999991</v>
      </c>
    </row>
    <row r="25" spans="30:47" s="9" customFormat="1" ht="14.25" customHeight="1">
      <c r="AD25" s="31"/>
      <c r="AE25" s="31" t="s">
        <v>203</v>
      </c>
      <c r="AF25" s="92"/>
      <c r="AG25" s="52">
        <f t="shared" ref="AG25:AQ25" si="6">SUM(AG20:AG24)</f>
        <v>4974.942</v>
      </c>
      <c r="AH25" s="52">
        <f>SUM(AH20:AH24)</f>
        <v>45286585</v>
      </c>
      <c r="AI25" s="52">
        <f t="shared" si="6"/>
        <v>55365821.80432</v>
      </c>
      <c r="AJ25" s="52">
        <f t="shared" si="6"/>
        <v>7008614.7696099998</v>
      </c>
      <c r="AK25" s="52">
        <f t="shared" si="6"/>
        <v>48357207.034709997</v>
      </c>
      <c r="AL25" s="52">
        <f t="shared" si="6"/>
        <v>3070622.0347099984</v>
      </c>
      <c r="AM25" s="52">
        <f t="shared" si="6"/>
        <v>0</v>
      </c>
      <c r="AN25" s="49"/>
      <c r="AO25" s="52">
        <f t="shared" si="6"/>
        <v>4539.6559999999999</v>
      </c>
      <c r="AP25" s="52">
        <f t="shared" si="6"/>
        <v>44353719.399999999</v>
      </c>
      <c r="AQ25" s="52">
        <f t="shared" si="6"/>
        <v>4003487.634709999</v>
      </c>
      <c r="AT25" s="9" t="s">
        <v>101</v>
      </c>
      <c r="AU25" s="9" t="s">
        <v>100</v>
      </c>
    </row>
    <row r="26" spans="30:47" ht="14.25" customHeight="1">
      <c r="AD26" s="8">
        <v>2</v>
      </c>
      <c r="AE26" s="8" t="s">
        <v>204</v>
      </c>
      <c r="AF26" s="207" t="s">
        <v>366</v>
      </c>
      <c r="AG26" s="188">
        <f>AO26+AO27</f>
        <v>1165.2069999999999</v>
      </c>
      <c r="AH26" s="188">
        <f>AU26+AU27</f>
        <v>1556299.8125500004</v>
      </c>
      <c r="AI26" s="188">
        <f t="shared" ref="AI26:AI31" si="7">AJ26+AK26</f>
        <v>2095607.8884100001</v>
      </c>
      <c r="AJ26" s="188">
        <f t="shared" ref="AJ26:AJ31" si="8">ROUND(AK26*0.2,0)</f>
        <v>349268</v>
      </c>
      <c r="AK26" s="188">
        <f>AP26+AP27</f>
        <v>1746339.8884100001</v>
      </c>
      <c r="AL26" s="188">
        <f t="shared" ref="AL26:AL31" si="9">AK26-AH26</f>
        <v>190040.07585999975</v>
      </c>
      <c r="AM26" s="188"/>
      <c r="AO26" s="188">
        <v>855.82799999999997</v>
      </c>
      <c r="AP26" s="188">
        <v>1358222.9629800001</v>
      </c>
      <c r="AQ26" s="188"/>
      <c r="AR26" s="308" t="s">
        <v>696</v>
      </c>
      <c r="AS26" s="188">
        <f>1676990/1.2</f>
        <v>1397491.6666666667</v>
      </c>
      <c r="AT26" s="188">
        <f t="shared" ref="AT26:AT31" si="10">AO26</f>
        <v>855.82799999999997</v>
      </c>
      <c r="AU26" s="188">
        <f t="shared" ref="AU26:AU31" si="11">(AS26*AT26)/1000</f>
        <v>1196012.4981000002</v>
      </c>
    </row>
    <row r="27" spans="30:47" ht="14.25" customHeight="1">
      <c r="AD27" s="8"/>
      <c r="AE27" s="8" t="s">
        <v>410</v>
      </c>
      <c r="AF27" s="207" t="s">
        <v>366</v>
      </c>
      <c r="AG27" s="188">
        <f>AO28+AO29</f>
        <v>1136.07</v>
      </c>
      <c r="AH27" s="188">
        <f>AU28+AU29</f>
        <v>1084880.57925</v>
      </c>
      <c r="AI27" s="188">
        <f t="shared" si="7"/>
        <v>1391093.47964</v>
      </c>
      <c r="AJ27" s="188">
        <f t="shared" si="8"/>
        <v>231849</v>
      </c>
      <c r="AK27" s="188">
        <f>AP28+AP29</f>
        <v>1159244.47964</v>
      </c>
      <c r="AL27" s="188">
        <f t="shared" si="9"/>
        <v>74363.900390000083</v>
      </c>
      <c r="AM27" s="188"/>
      <c r="AO27" s="188">
        <v>309.37900000000002</v>
      </c>
      <c r="AP27" s="188">
        <v>388116.92543</v>
      </c>
      <c r="AQ27" s="188"/>
      <c r="AR27" s="308" t="s">
        <v>697</v>
      </c>
      <c r="AS27" s="188">
        <f>1397460/1.2</f>
        <v>1164550</v>
      </c>
      <c r="AT27" s="188">
        <f t="shared" si="10"/>
        <v>309.37900000000002</v>
      </c>
      <c r="AU27" s="188">
        <f t="shared" si="11"/>
        <v>360287.31445000006</v>
      </c>
    </row>
    <row r="28" spans="30:47" ht="14.25" customHeight="1">
      <c r="AD28" s="8"/>
      <c r="AE28" s="8" t="s">
        <v>258</v>
      </c>
      <c r="AF28" s="207" t="s">
        <v>366</v>
      </c>
      <c r="AG28" s="188">
        <f>AO30</f>
        <v>630.33600000000001</v>
      </c>
      <c r="AH28" s="188">
        <f>AU30</f>
        <v>462456.51200000005</v>
      </c>
      <c r="AI28" s="188">
        <f t="shared" si="7"/>
        <v>638586.51422000001</v>
      </c>
      <c r="AJ28" s="188">
        <f t="shared" si="8"/>
        <v>106431</v>
      </c>
      <c r="AK28" s="188">
        <f>AP30</f>
        <v>532155.51422000001</v>
      </c>
      <c r="AL28" s="188">
        <f t="shared" si="9"/>
        <v>69699.002219999966</v>
      </c>
      <c r="AM28" s="188"/>
      <c r="AO28" s="188">
        <v>1136.07</v>
      </c>
      <c r="AP28" s="188">
        <v>1159244.47964</v>
      </c>
      <c r="AQ28" s="188"/>
      <c r="AR28" s="308" t="s">
        <v>698</v>
      </c>
      <c r="AS28" s="188">
        <f>1145930/1.2</f>
        <v>954941.66666666674</v>
      </c>
      <c r="AT28" s="188">
        <f t="shared" si="10"/>
        <v>1136.07</v>
      </c>
      <c r="AU28" s="188">
        <f t="shared" si="11"/>
        <v>1084880.57925</v>
      </c>
    </row>
    <row r="29" spans="30:47" ht="14.25" customHeight="1">
      <c r="AD29" s="8"/>
      <c r="AE29" s="8" t="s">
        <v>431</v>
      </c>
      <c r="AF29" s="207" t="s">
        <v>366</v>
      </c>
      <c r="AG29" s="188">
        <f>AO31</f>
        <v>0</v>
      </c>
      <c r="AH29" s="188">
        <v>0</v>
      </c>
      <c r="AI29" s="188">
        <f t="shared" si="7"/>
        <v>0</v>
      </c>
      <c r="AJ29" s="188">
        <f t="shared" si="8"/>
        <v>0</v>
      </c>
      <c r="AK29" s="188">
        <f>AP31</f>
        <v>0</v>
      </c>
      <c r="AL29" s="188">
        <f t="shared" si="9"/>
        <v>0</v>
      </c>
      <c r="AM29" s="188"/>
      <c r="AO29" s="188"/>
      <c r="AP29" s="188">
        <v>0</v>
      </c>
      <c r="AQ29" s="188"/>
      <c r="AR29" s="308" t="s">
        <v>97</v>
      </c>
      <c r="AS29" s="188">
        <f>978220/1.2</f>
        <v>815183.33333333337</v>
      </c>
      <c r="AT29" s="188">
        <f t="shared" si="10"/>
        <v>0</v>
      </c>
      <c r="AU29" s="188">
        <f t="shared" si="11"/>
        <v>0</v>
      </c>
    </row>
    <row r="30" spans="30:47" ht="14.25" customHeight="1">
      <c r="AD30" s="8"/>
      <c r="AE30" s="8" t="s">
        <v>407</v>
      </c>
      <c r="AF30" s="207" t="s">
        <v>366</v>
      </c>
      <c r="AG30" s="188">
        <v>0</v>
      </c>
      <c r="AH30" s="188">
        <v>0</v>
      </c>
      <c r="AI30" s="188">
        <f t="shared" si="7"/>
        <v>0</v>
      </c>
      <c r="AJ30" s="188">
        <f t="shared" si="8"/>
        <v>0</v>
      </c>
      <c r="AK30" s="188">
        <v>0</v>
      </c>
      <c r="AL30" s="188">
        <f t="shared" si="9"/>
        <v>0</v>
      </c>
      <c r="AM30" s="188"/>
      <c r="AO30" s="188">
        <f>516.836+113.5</f>
        <v>630.33600000000001</v>
      </c>
      <c r="AP30" s="188">
        <f>447314.26422+84841.25</f>
        <v>532155.51422000001</v>
      </c>
      <c r="AQ30" s="188"/>
      <c r="AR30" s="308" t="s">
        <v>98</v>
      </c>
      <c r="AS30" s="188">
        <f>880400/1.2</f>
        <v>733666.66666666674</v>
      </c>
      <c r="AT30" s="188">
        <f t="shared" si="10"/>
        <v>630.33600000000001</v>
      </c>
      <c r="AU30" s="188">
        <f t="shared" si="11"/>
        <v>462456.51200000005</v>
      </c>
    </row>
    <row r="31" spans="30:47" ht="14.25" customHeight="1">
      <c r="AD31" s="8"/>
      <c r="AE31" s="8" t="s">
        <v>674</v>
      </c>
      <c r="AF31" s="207" t="s">
        <v>366</v>
      </c>
      <c r="AG31" s="188">
        <v>0</v>
      </c>
      <c r="AH31" s="188">
        <v>0</v>
      </c>
      <c r="AI31" s="188">
        <f t="shared" si="7"/>
        <v>0</v>
      </c>
      <c r="AJ31" s="188">
        <f t="shared" si="8"/>
        <v>0</v>
      </c>
      <c r="AK31" s="188">
        <f>AP31</f>
        <v>0</v>
      </c>
      <c r="AL31" s="188">
        <f t="shared" si="9"/>
        <v>0</v>
      </c>
      <c r="AM31" s="188"/>
      <c r="AO31" s="188"/>
      <c r="AP31" s="188"/>
      <c r="AQ31" s="188"/>
      <c r="AR31" s="308"/>
      <c r="AS31" s="188">
        <f>628870/1.2</f>
        <v>524058.33333333337</v>
      </c>
      <c r="AT31" s="188">
        <f t="shared" si="10"/>
        <v>0</v>
      </c>
      <c r="AU31" s="188">
        <f t="shared" si="11"/>
        <v>0</v>
      </c>
    </row>
    <row r="32" spans="30:47" s="9" customFormat="1" ht="14.25" customHeight="1">
      <c r="AD32" s="31"/>
      <c r="AE32" s="31" t="s">
        <v>654</v>
      </c>
      <c r="AF32" s="31"/>
      <c r="AG32" s="52">
        <f>SUM(AG26:AG31)</f>
        <v>2931.6130000000003</v>
      </c>
      <c r="AH32" s="52">
        <f t="shared" ref="AH32:AM32" si="12">SUM(AH26:AH31)</f>
        <v>3103636.9038000004</v>
      </c>
      <c r="AI32" s="52">
        <f t="shared" si="12"/>
        <v>4125287.8822699999</v>
      </c>
      <c r="AJ32" s="52">
        <f t="shared" si="12"/>
        <v>687548</v>
      </c>
      <c r="AK32" s="52">
        <f t="shared" si="12"/>
        <v>3437739.8822699999</v>
      </c>
      <c r="AL32" s="52">
        <f t="shared" si="12"/>
        <v>334102.9784699998</v>
      </c>
      <c r="AM32" s="52">
        <f t="shared" si="12"/>
        <v>0</v>
      </c>
      <c r="AO32" s="188">
        <f>SUM(AO26:AO31)</f>
        <v>2931.6130000000003</v>
      </c>
      <c r="AP32" s="188">
        <f>SUM(AP26:AP31)</f>
        <v>3437739.8822699999</v>
      </c>
      <c r="AQ32" s="188"/>
      <c r="AR32" s="188">
        <f>SUM(AR26:AR31)</f>
        <v>0</v>
      </c>
      <c r="AS32" s="188">
        <v>0</v>
      </c>
      <c r="AT32" s="188">
        <f>SUM(AT26:AT31)</f>
        <v>2931.6130000000003</v>
      </c>
      <c r="AU32" s="188">
        <f>SUM(AU26:AU31)</f>
        <v>3103636.9038000004</v>
      </c>
    </row>
    <row r="33" spans="30:47" ht="14.25" customHeight="1">
      <c r="AD33" s="8">
        <v>3</v>
      </c>
      <c r="AE33" s="8" t="s">
        <v>655</v>
      </c>
      <c r="AF33" s="207" t="s">
        <v>366</v>
      </c>
      <c r="AG33" s="188">
        <f>[4]Хлоппродук!H21+[4]Хлоппродук!H22</f>
        <v>1160.511</v>
      </c>
      <c r="AH33" s="188">
        <v>7195138.1419999991</v>
      </c>
      <c r="AI33" s="188">
        <f>AH33</f>
        <v>7195138.1419999991</v>
      </c>
      <c r="AJ33" s="188">
        <v>0</v>
      </c>
      <c r="AK33" s="188">
        <f>AI33</f>
        <v>7195138.1419999991</v>
      </c>
      <c r="AL33" s="188">
        <f>AK33-AH33</f>
        <v>0</v>
      </c>
      <c r="AM33" s="188"/>
      <c r="AO33" s="188"/>
      <c r="AP33" s="188"/>
      <c r="AQ33" s="188"/>
    </row>
    <row r="34" spans="30:47" s="9" customFormat="1" ht="14.25" customHeight="1">
      <c r="AD34" s="31"/>
      <c r="AE34" s="31" t="s">
        <v>371</v>
      </c>
      <c r="AF34" s="31"/>
      <c r="AG34" s="52">
        <f t="shared" ref="AG34:AM34" si="13">SUM(AG33:AG33)</f>
        <v>1160.511</v>
      </c>
      <c r="AH34" s="52">
        <f t="shared" si="13"/>
        <v>7195138.1419999991</v>
      </c>
      <c r="AI34" s="52">
        <f t="shared" si="13"/>
        <v>7195138.1419999991</v>
      </c>
      <c r="AJ34" s="52">
        <f t="shared" si="13"/>
        <v>0</v>
      </c>
      <c r="AK34" s="52">
        <f t="shared" si="13"/>
        <v>7195138.1419999991</v>
      </c>
      <c r="AL34" s="52">
        <f t="shared" si="13"/>
        <v>0</v>
      </c>
      <c r="AM34" s="52">
        <f t="shared" si="13"/>
        <v>0</v>
      </c>
      <c r="AO34" s="188"/>
      <c r="AP34" s="188"/>
      <c r="AQ34" s="188"/>
    </row>
    <row r="35" spans="30:47" ht="14.25" customHeight="1">
      <c r="AD35" s="8">
        <v>4</v>
      </c>
      <c r="AE35" s="8" t="s">
        <v>435</v>
      </c>
      <c r="AF35" s="207" t="s">
        <v>366</v>
      </c>
      <c r="AG35" s="188"/>
      <c r="AH35" s="188"/>
      <c r="AI35" s="188"/>
      <c r="AJ35" s="188"/>
      <c r="AK35" s="188"/>
      <c r="AL35" s="188">
        <f>AK35-AH35</f>
        <v>0</v>
      </c>
      <c r="AM35" s="188"/>
      <c r="AO35" s="188"/>
      <c r="AP35" s="188"/>
      <c r="AQ35" s="188"/>
    </row>
    <row r="36" spans="30:47" ht="14.25" customHeight="1">
      <c r="AD36" s="8"/>
      <c r="AE36" s="8" t="s">
        <v>560</v>
      </c>
      <c r="AF36" s="207" t="s">
        <v>366</v>
      </c>
      <c r="AG36" s="188">
        <v>339</v>
      </c>
      <c r="AH36" s="188">
        <f>AU36+AU37+AU38</f>
        <v>756787.13899000001</v>
      </c>
      <c r="AI36" s="188">
        <f>AJ36+AK36</f>
        <v>1284447.8</v>
      </c>
      <c r="AJ36" s="188">
        <f>ROUND(AK36*0.2,0)</f>
        <v>214075</v>
      </c>
      <c r="AK36" s="188">
        <f>AP36</f>
        <v>1070372.8</v>
      </c>
      <c r="AL36" s="188">
        <f>AK36-AH36</f>
        <v>313585.66101000004</v>
      </c>
      <c r="AM36" s="188"/>
      <c r="AO36" s="188">
        <v>338.69400000000002</v>
      </c>
      <c r="AP36" s="188">
        <v>1070372.8</v>
      </c>
      <c r="AQ36" s="188">
        <f t="shared" ref="AQ36:AQ58" si="14">AK36-AP36</f>
        <v>0</v>
      </c>
      <c r="AR36" s="308" t="s">
        <v>102</v>
      </c>
      <c r="AS36" s="188">
        <v>2187810</v>
      </c>
      <c r="AT36" s="188">
        <v>229.523</v>
      </c>
      <c r="AU36" s="188">
        <f>(AS36*AT36)/1000</f>
        <v>502152.71463</v>
      </c>
    </row>
    <row r="37" spans="30:47" ht="14.25" customHeight="1">
      <c r="AD37" s="8"/>
      <c r="AE37" s="8" t="s">
        <v>559</v>
      </c>
      <c r="AF37" s="207"/>
      <c r="AG37" s="188"/>
      <c r="AH37" s="188"/>
      <c r="AI37" s="188"/>
      <c r="AJ37" s="188">
        <f>ROUND(AI37*20/120,0)</f>
        <v>0</v>
      </c>
      <c r="AK37" s="188">
        <f>AI37-AJ37</f>
        <v>0</v>
      </c>
      <c r="AL37" s="188">
        <f>AK37-AH37</f>
        <v>0</v>
      </c>
      <c r="AM37" s="188"/>
      <c r="AO37" s="188"/>
      <c r="AP37" s="188"/>
      <c r="AQ37" s="188">
        <f t="shared" si="14"/>
        <v>0</v>
      </c>
      <c r="AR37" s="308" t="s">
        <v>109</v>
      </c>
      <c r="AS37" s="188">
        <v>2587360</v>
      </c>
      <c r="AT37" s="188">
        <v>93.210999999999999</v>
      </c>
      <c r="AU37" s="188">
        <f>(AS37*AT37)/1000</f>
        <v>241170.41296000002</v>
      </c>
    </row>
    <row r="38" spans="30:47" s="9" customFormat="1" ht="14.25" customHeight="1">
      <c r="AD38" s="31"/>
      <c r="AE38" s="31" t="s">
        <v>436</v>
      </c>
      <c r="AF38" s="52"/>
      <c r="AG38" s="52">
        <f>SUM(AG35:AG37)</f>
        <v>339</v>
      </c>
      <c r="AH38" s="52">
        <f t="shared" ref="AH38:AM38" si="15">SUM(AH35:AH37)</f>
        <v>756787.13899000001</v>
      </c>
      <c r="AI38" s="52">
        <f t="shared" si="15"/>
        <v>1284447.8</v>
      </c>
      <c r="AJ38" s="52">
        <f t="shared" si="15"/>
        <v>214075</v>
      </c>
      <c r="AK38" s="52">
        <f t="shared" si="15"/>
        <v>1070372.8</v>
      </c>
      <c r="AL38" s="52">
        <f t="shared" si="15"/>
        <v>313585.66101000004</v>
      </c>
      <c r="AM38" s="52">
        <f t="shared" si="15"/>
        <v>0</v>
      </c>
      <c r="AO38" s="188"/>
      <c r="AP38" s="188"/>
      <c r="AQ38" s="188"/>
      <c r="AR38" s="308" t="s">
        <v>110</v>
      </c>
      <c r="AS38" s="188">
        <v>1787100</v>
      </c>
      <c r="AT38" s="188">
        <v>7.5339999999999998</v>
      </c>
      <c r="AU38" s="188">
        <f>(AS38*AT38)/1000</f>
        <v>13464.011400000001</v>
      </c>
    </row>
    <row r="39" spans="30:47" ht="14.25" customHeight="1">
      <c r="AD39" s="8">
        <v>5</v>
      </c>
      <c r="AE39" s="8" t="s">
        <v>656</v>
      </c>
      <c r="AF39" s="207" t="s">
        <v>366</v>
      </c>
      <c r="AG39" s="188">
        <v>41.503999999999998</v>
      </c>
      <c r="AH39" s="188">
        <v>28925</v>
      </c>
      <c r="AI39" s="188">
        <f>ROUND(+AH39*120%,0)</f>
        <v>34710</v>
      </c>
      <c r="AJ39" s="188">
        <f>ROUND(AI39*20/120,0)</f>
        <v>5785</v>
      </c>
      <c r="AK39" s="188">
        <f>AI39-AJ39</f>
        <v>28925</v>
      </c>
      <c r="AL39" s="188">
        <f>AK39-AH39</f>
        <v>0</v>
      </c>
      <c r="AM39" s="188"/>
      <c r="AO39" s="188"/>
      <c r="AP39" s="188"/>
      <c r="AQ39" s="188">
        <f t="shared" si="14"/>
        <v>28925</v>
      </c>
    </row>
    <row r="40" spans="30:47" ht="14.25" customHeight="1">
      <c r="AD40" s="8">
        <v>6</v>
      </c>
      <c r="AE40" s="8" t="s">
        <v>657</v>
      </c>
      <c r="AF40" s="207" t="s">
        <v>366</v>
      </c>
      <c r="AG40" s="188">
        <v>359</v>
      </c>
      <c r="AH40" s="188">
        <v>151828</v>
      </c>
      <c r="AI40" s="188">
        <f>ROUND(+AH40*120%,0)</f>
        <v>182194</v>
      </c>
      <c r="AJ40" s="188">
        <f>ROUND(AI40*20/120,0)</f>
        <v>30366</v>
      </c>
      <c r="AK40" s="188">
        <f>AI40-AJ40</f>
        <v>151828</v>
      </c>
      <c r="AL40" s="188">
        <f>AK40-AH40</f>
        <v>0</v>
      </c>
      <c r="AM40" s="188"/>
      <c r="AO40" s="188"/>
      <c r="AP40" s="188"/>
      <c r="AQ40" s="188">
        <f t="shared" si="14"/>
        <v>151828</v>
      </c>
    </row>
    <row r="41" spans="30:47" s="9" customFormat="1" ht="14.25" customHeight="1">
      <c r="AD41" s="31"/>
      <c r="AE41" s="31" t="s">
        <v>570</v>
      </c>
      <c r="AF41" s="31"/>
      <c r="AG41" s="40" t="s">
        <v>251</v>
      </c>
      <c r="AH41" s="52">
        <f t="shared" ref="AH41:AM41" si="16">+AH25+AH32+AH34+AH38+AH39+AH40</f>
        <v>56522900.18479</v>
      </c>
      <c r="AI41" s="52">
        <f t="shared" si="16"/>
        <v>68187599.628590003</v>
      </c>
      <c r="AJ41" s="52">
        <f t="shared" si="16"/>
        <v>7946388.7696099998</v>
      </c>
      <c r="AK41" s="52">
        <f t="shared" si="16"/>
        <v>60241210.858979993</v>
      </c>
      <c r="AL41" s="52">
        <f t="shared" si="16"/>
        <v>3718310.6741899983</v>
      </c>
      <c r="AM41" s="52">
        <f t="shared" si="16"/>
        <v>0</v>
      </c>
      <c r="AO41" s="188"/>
      <c r="AP41" s="188"/>
      <c r="AQ41" s="188">
        <f t="shared" si="14"/>
        <v>60241210.858979993</v>
      </c>
    </row>
    <row r="42" spans="30:47" ht="14.25" customHeight="1">
      <c r="AD42" s="8">
        <v>7</v>
      </c>
      <c r="AE42" s="8" t="s">
        <v>658</v>
      </c>
      <c r="AF42" s="8"/>
      <c r="AG42" s="188"/>
      <c r="AH42" s="188"/>
      <c r="AI42" s="188">
        <f t="shared" ref="AI42:AI56" si="17">ROUND(+AH42*120%,0)</f>
        <v>0</v>
      </c>
      <c r="AJ42" s="188">
        <f t="shared" ref="AJ42:AJ56" si="18">ROUND(AI42*20/120,0)</f>
        <v>0</v>
      </c>
      <c r="AK42" s="188">
        <f t="shared" ref="AK42:AK56" si="19">AI42-AJ42</f>
        <v>0</v>
      </c>
      <c r="AL42" s="188"/>
      <c r="AM42" s="188"/>
      <c r="AO42" s="188"/>
      <c r="AP42" s="188"/>
      <c r="AQ42" s="188">
        <f t="shared" si="14"/>
        <v>0</v>
      </c>
    </row>
    <row r="43" spans="30:47" ht="14.25" customHeight="1">
      <c r="AD43" s="8">
        <f>AD42+1</f>
        <v>8</v>
      </c>
      <c r="AE43" s="8" t="s">
        <v>665</v>
      </c>
      <c r="AF43" s="207" t="s">
        <v>366</v>
      </c>
      <c r="AG43" s="188">
        <v>35.9</v>
      </c>
      <c r="AH43" s="188">
        <v>10585</v>
      </c>
      <c r="AI43" s="188">
        <f t="shared" si="17"/>
        <v>12702</v>
      </c>
      <c r="AJ43" s="188">
        <f t="shared" si="18"/>
        <v>2117</v>
      </c>
      <c r="AK43" s="188">
        <f t="shared" si="19"/>
        <v>10585</v>
      </c>
      <c r="AL43" s="188">
        <f t="shared" ref="AL43:AL56" si="20">AK43-AH43</f>
        <v>0</v>
      </c>
      <c r="AM43" s="188"/>
      <c r="AO43" s="188"/>
      <c r="AP43" s="188"/>
      <c r="AQ43" s="188">
        <f t="shared" si="14"/>
        <v>10585</v>
      </c>
    </row>
    <row r="44" spans="30:47" ht="14.25" customHeight="1">
      <c r="AD44" s="8">
        <f t="shared" ref="AD44:AD56" si="21">AD43+1</f>
        <v>9</v>
      </c>
      <c r="AE44" s="8" t="s">
        <v>672</v>
      </c>
      <c r="AF44" s="8"/>
      <c r="AG44" s="188"/>
      <c r="AH44" s="188"/>
      <c r="AI44" s="188">
        <f t="shared" si="17"/>
        <v>0</v>
      </c>
      <c r="AJ44" s="188">
        <f t="shared" si="18"/>
        <v>0</v>
      </c>
      <c r="AK44" s="188">
        <f t="shared" si="19"/>
        <v>0</v>
      </c>
      <c r="AL44" s="188">
        <f t="shared" si="20"/>
        <v>0</v>
      </c>
      <c r="AM44" s="188"/>
      <c r="AO44" s="188"/>
      <c r="AP44" s="188"/>
      <c r="AQ44" s="188">
        <f t="shared" si="14"/>
        <v>0</v>
      </c>
    </row>
    <row r="45" spans="30:47" ht="14.25" customHeight="1">
      <c r="AD45" s="8">
        <f t="shared" si="21"/>
        <v>10</v>
      </c>
      <c r="AE45" s="8" t="s">
        <v>305</v>
      </c>
      <c r="AF45" s="207"/>
      <c r="AG45" s="188"/>
      <c r="AH45" s="188">
        <v>3025924.3</v>
      </c>
      <c r="AI45" s="188">
        <f t="shared" si="17"/>
        <v>3631109</v>
      </c>
      <c r="AJ45" s="188">
        <f t="shared" si="18"/>
        <v>605185</v>
      </c>
      <c r="AK45" s="188">
        <f t="shared" si="19"/>
        <v>3025924</v>
      </c>
      <c r="AL45" s="188">
        <f t="shared" si="20"/>
        <v>-0.29999999981373549</v>
      </c>
      <c r="AM45" s="188"/>
      <c r="AO45" s="188">
        <v>2145</v>
      </c>
      <c r="AP45" s="188">
        <v>3025924.3</v>
      </c>
      <c r="AQ45" s="188">
        <f t="shared" si="14"/>
        <v>-0.29999999981373549</v>
      </c>
    </row>
    <row r="46" spans="30:47" ht="14.25" customHeight="1">
      <c r="AD46" s="8">
        <f t="shared" si="21"/>
        <v>11</v>
      </c>
      <c r="AE46" s="8" t="s">
        <v>573</v>
      </c>
      <c r="AF46" s="8"/>
      <c r="AG46" s="188"/>
      <c r="AH46" s="188"/>
      <c r="AI46" s="188">
        <f t="shared" si="17"/>
        <v>0</v>
      </c>
      <c r="AJ46" s="188">
        <f t="shared" si="18"/>
        <v>0</v>
      </c>
      <c r="AK46" s="188">
        <f t="shared" si="19"/>
        <v>0</v>
      </c>
      <c r="AL46" s="188">
        <f t="shared" si="20"/>
        <v>0</v>
      </c>
      <c r="AM46" s="188"/>
      <c r="AO46" s="188"/>
      <c r="AP46" s="188"/>
      <c r="AQ46" s="188">
        <f t="shared" si="14"/>
        <v>0</v>
      </c>
    </row>
    <row r="47" spans="30:47" ht="14.25" customHeight="1">
      <c r="AD47" s="8">
        <f t="shared" si="21"/>
        <v>12</v>
      </c>
      <c r="AE47" s="8" t="s">
        <v>380</v>
      </c>
      <c r="AF47" s="8"/>
      <c r="AG47" s="188"/>
      <c r="AH47" s="188"/>
      <c r="AI47" s="188">
        <f t="shared" si="17"/>
        <v>0</v>
      </c>
      <c r="AJ47" s="188">
        <f t="shared" si="18"/>
        <v>0</v>
      </c>
      <c r="AK47" s="188">
        <f t="shared" si="19"/>
        <v>0</v>
      </c>
      <c r="AL47" s="188">
        <f t="shared" si="20"/>
        <v>0</v>
      </c>
      <c r="AM47" s="188"/>
      <c r="AO47" s="188"/>
      <c r="AP47" s="188"/>
      <c r="AQ47" s="188">
        <f t="shared" si="14"/>
        <v>0</v>
      </c>
    </row>
    <row r="48" spans="30:47" ht="14.25" customHeight="1">
      <c r="AD48" s="8">
        <f t="shared" si="21"/>
        <v>13</v>
      </c>
      <c r="AE48" s="8" t="s">
        <v>336</v>
      </c>
      <c r="AF48" s="207" t="s">
        <v>366</v>
      </c>
      <c r="AG48" s="188">
        <v>42.2</v>
      </c>
      <c r="AH48" s="188">
        <v>42225</v>
      </c>
      <c r="AI48" s="188">
        <f t="shared" si="17"/>
        <v>50670</v>
      </c>
      <c r="AJ48" s="188">
        <f t="shared" si="18"/>
        <v>8445</v>
      </c>
      <c r="AK48" s="188">
        <f t="shared" si="19"/>
        <v>42225</v>
      </c>
      <c r="AL48" s="188">
        <f t="shared" si="20"/>
        <v>0</v>
      </c>
      <c r="AM48" s="188"/>
      <c r="AO48" s="188"/>
      <c r="AP48" s="188"/>
      <c r="AQ48" s="188">
        <f t="shared" si="14"/>
        <v>42225</v>
      </c>
    </row>
    <row r="49" spans="30:43" ht="14.25" customHeight="1">
      <c r="AD49" s="8">
        <f t="shared" si="21"/>
        <v>14</v>
      </c>
      <c r="AE49" s="8" t="s">
        <v>399</v>
      </c>
      <c r="AF49" s="8"/>
      <c r="AG49" s="188"/>
      <c r="AH49" s="188"/>
      <c r="AI49" s="188">
        <f t="shared" si="17"/>
        <v>0</v>
      </c>
      <c r="AJ49" s="188">
        <f t="shared" si="18"/>
        <v>0</v>
      </c>
      <c r="AK49" s="188">
        <f>AI49-AJ49</f>
        <v>0</v>
      </c>
      <c r="AL49" s="188">
        <f t="shared" si="20"/>
        <v>0</v>
      </c>
      <c r="AM49" s="188"/>
      <c r="AO49" s="188"/>
      <c r="AP49" s="188"/>
      <c r="AQ49" s="188">
        <f t="shared" si="14"/>
        <v>0</v>
      </c>
    </row>
    <row r="50" spans="30:43" ht="14.25" customHeight="1">
      <c r="AD50" s="8">
        <f t="shared" si="21"/>
        <v>15</v>
      </c>
      <c r="AE50" s="8" t="s">
        <v>653</v>
      </c>
      <c r="AF50" s="8"/>
      <c r="AG50" s="188"/>
      <c r="AH50" s="188">
        <v>792203</v>
      </c>
      <c r="AI50" s="188">
        <f t="shared" si="17"/>
        <v>950644</v>
      </c>
      <c r="AJ50" s="188">
        <f t="shared" si="18"/>
        <v>158441</v>
      </c>
      <c r="AK50" s="188">
        <f t="shared" si="19"/>
        <v>792203</v>
      </c>
      <c r="AL50" s="188">
        <f>AK50-AH50</f>
        <v>0</v>
      </c>
      <c r="AM50" s="188"/>
      <c r="AO50" s="188"/>
      <c r="AP50" s="188"/>
      <c r="AQ50" s="188">
        <f t="shared" si="14"/>
        <v>792203</v>
      </c>
    </row>
    <row r="51" spans="30:43" ht="14.25" customHeight="1">
      <c r="AD51" s="8">
        <f t="shared" si="21"/>
        <v>16</v>
      </c>
      <c r="AE51" s="8" t="s">
        <v>171</v>
      </c>
      <c r="AF51" s="8"/>
      <c r="AG51" s="188"/>
      <c r="AH51" s="188">
        <f>635927/1.15</f>
        <v>552980</v>
      </c>
      <c r="AI51" s="188">
        <f>AK51+AJ51</f>
        <v>635927</v>
      </c>
      <c r="AJ51" s="188">
        <f>AK51*0.15</f>
        <v>82947</v>
      </c>
      <c r="AK51" s="188">
        <f>635927/1.15</f>
        <v>552980</v>
      </c>
      <c r="AL51" s="188">
        <f t="shared" si="20"/>
        <v>0</v>
      </c>
      <c r="AM51" s="188"/>
      <c r="AO51" s="188"/>
      <c r="AP51" s="188"/>
      <c r="AQ51" s="188">
        <f t="shared" si="14"/>
        <v>552980</v>
      </c>
    </row>
    <row r="52" spans="30:43" ht="14.25" hidden="1" customHeight="1">
      <c r="AD52" s="8">
        <f t="shared" si="21"/>
        <v>17</v>
      </c>
      <c r="AE52" s="8" t="s">
        <v>637</v>
      </c>
      <c r="AF52" s="8"/>
      <c r="AG52" s="188"/>
      <c r="AH52" s="188"/>
      <c r="AI52" s="188">
        <f t="shared" si="17"/>
        <v>0</v>
      </c>
      <c r="AJ52" s="188">
        <f t="shared" si="18"/>
        <v>0</v>
      </c>
      <c r="AK52" s="188">
        <f t="shared" si="19"/>
        <v>0</v>
      </c>
      <c r="AL52" s="188">
        <f t="shared" si="20"/>
        <v>0</v>
      </c>
      <c r="AM52" s="188"/>
      <c r="AO52" s="188"/>
      <c r="AP52" s="188"/>
      <c r="AQ52" s="188">
        <f t="shared" si="14"/>
        <v>0</v>
      </c>
    </row>
    <row r="53" spans="30:43" ht="14.25" customHeight="1">
      <c r="AD53" s="8">
        <f t="shared" si="21"/>
        <v>18</v>
      </c>
      <c r="AE53" s="8" t="s">
        <v>646</v>
      </c>
      <c r="AF53" s="8"/>
      <c r="AG53" s="188"/>
      <c r="AH53" s="188"/>
      <c r="AI53" s="188">
        <f t="shared" si="17"/>
        <v>0</v>
      </c>
      <c r="AJ53" s="188">
        <f t="shared" si="18"/>
        <v>0</v>
      </c>
      <c r="AK53" s="188">
        <f t="shared" si="19"/>
        <v>0</v>
      </c>
      <c r="AL53" s="188">
        <f t="shared" si="20"/>
        <v>0</v>
      </c>
      <c r="AM53" s="188"/>
      <c r="AO53" s="188"/>
      <c r="AP53" s="188"/>
      <c r="AQ53" s="188">
        <f t="shared" si="14"/>
        <v>0</v>
      </c>
    </row>
    <row r="54" spans="30:43" ht="14.25" customHeight="1">
      <c r="AD54" s="8">
        <f t="shared" si="21"/>
        <v>19</v>
      </c>
      <c r="AE54" s="8" t="s">
        <v>647</v>
      </c>
      <c r="AF54" s="8"/>
      <c r="AG54" s="188"/>
      <c r="AH54" s="188"/>
      <c r="AI54" s="188">
        <f t="shared" si="17"/>
        <v>0</v>
      </c>
      <c r="AJ54" s="188">
        <f t="shared" si="18"/>
        <v>0</v>
      </c>
      <c r="AK54" s="188">
        <f t="shared" si="19"/>
        <v>0</v>
      </c>
      <c r="AL54" s="188">
        <f t="shared" si="20"/>
        <v>0</v>
      </c>
      <c r="AM54" s="188"/>
      <c r="AO54" s="188"/>
      <c r="AP54" s="188"/>
      <c r="AQ54" s="188">
        <f t="shared" si="14"/>
        <v>0</v>
      </c>
    </row>
    <row r="55" spans="30:43" ht="14.25" customHeight="1">
      <c r="AD55" s="8">
        <f t="shared" si="21"/>
        <v>20</v>
      </c>
      <c r="AE55" s="8" t="s">
        <v>634</v>
      </c>
      <c r="AF55" s="207"/>
      <c r="AG55" s="188"/>
      <c r="AH55" s="188"/>
      <c r="AI55" s="188">
        <f t="shared" si="17"/>
        <v>0</v>
      </c>
      <c r="AJ55" s="188">
        <f t="shared" si="18"/>
        <v>0</v>
      </c>
      <c r="AK55" s="188">
        <f t="shared" si="19"/>
        <v>0</v>
      </c>
      <c r="AL55" s="188">
        <f t="shared" si="20"/>
        <v>0</v>
      </c>
      <c r="AM55" s="188"/>
      <c r="AO55" s="188"/>
      <c r="AP55" s="188"/>
      <c r="AQ55" s="188">
        <f t="shared" si="14"/>
        <v>0</v>
      </c>
    </row>
    <row r="56" spans="30:43" ht="14.25" customHeight="1">
      <c r="AD56" s="8">
        <f t="shared" si="21"/>
        <v>21</v>
      </c>
      <c r="AE56" s="8" t="s">
        <v>390</v>
      </c>
      <c r="AF56" s="8"/>
      <c r="AG56" s="188"/>
      <c r="AH56" s="188"/>
      <c r="AI56" s="188">
        <f t="shared" si="17"/>
        <v>0</v>
      </c>
      <c r="AJ56" s="188">
        <f t="shared" si="18"/>
        <v>0</v>
      </c>
      <c r="AK56" s="188">
        <f t="shared" si="19"/>
        <v>0</v>
      </c>
      <c r="AL56" s="188">
        <f t="shared" si="20"/>
        <v>0</v>
      </c>
      <c r="AM56" s="188"/>
      <c r="AO56" s="188"/>
      <c r="AP56" s="188"/>
      <c r="AQ56" s="188">
        <f t="shared" si="14"/>
        <v>0</v>
      </c>
    </row>
    <row r="57" spans="30:43" ht="14.25" customHeight="1">
      <c r="AD57" s="8"/>
      <c r="AE57" s="31" t="s">
        <v>685</v>
      </c>
      <c r="AF57" s="31"/>
      <c r="AG57" s="52">
        <f t="shared" ref="AG57:AM57" si="22">AG42+AG43+AG44+AG45+AG48+AG49+AG50+AG51+AG52+AG53+AG54+AG55+AG56</f>
        <v>78.099999999999994</v>
      </c>
      <c r="AH57" s="52">
        <f t="shared" si="22"/>
        <v>4423917.3</v>
      </c>
      <c r="AI57" s="52">
        <f t="shared" si="22"/>
        <v>5281052</v>
      </c>
      <c r="AJ57" s="52">
        <f t="shared" si="22"/>
        <v>857135</v>
      </c>
      <c r="AK57" s="52">
        <f t="shared" si="22"/>
        <v>4423917</v>
      </c>
      <c r="AL57" s="52">
        <f t="shared" si="22"/>
        <v>-0.29999999981373549</v>
      </c>
      <c r="AM57" s="52">
        <f t="shared" si="22"/>
        <v>0</v>
      </c>
      <c r="AO57" s="188"/>
      <c r="AP57" s="188"/>
      <c r="AQ57" s="188">
        <f t="shared" si="14"/>
        <v>4423917</v>
      </c>
    </row>
    <row r="58" spans="30:43" ht="14.25" customHeight="1">
      <c r="AD58" s="8"/>
      <c r="AE58" s="31" t="s">
        <v>433</v>
      </c>
      <c r="AF58" s="31"/>
      <c r="AG58" s="40" t="s">
        <v>251</v>
      </c>
      <c r="AH58" s="52">
        <f t="shared" ref="AH58:AM58" si="23">AH41+AH57</f>
        <v>60946817.484789997</v>
      </c>
      <c r="AI58" s="52">
        <f t="shared" si="23"/>
        <v>73468651.628590003</v>
      </c>
      <c r="AJ58" s="52">
        <f t="shared" si="23"/>
        <v>8803523.7696099989</v>
      </c>
      <c r="AK58" s="52">
        <f t="shared" si="23"/>
        <v>64665127.858979993</v>
      </c>
      <c r="AL58" s="52">
        <f t="shared" si="23"/>
        <v>3718310.3741899985</v>
      </c>
      <c r="AM58" s="52">
        <f t="shared" si="23"/>
        <v>0</v>
      </c>
      <c r="AO58" s="188"/>
      <c r="AP58" s="188"/>
      <c r="AQ58" s="188">
        <f t="shared" si="14"/>
        <v>64665127.858979993</v>
      </c>
    </row>
    <row r="59" spans="30:43">
      <c r="AG59" s="42"/>
      <c r="AH59" s="42"/>
      <c r="AI59" s="42"/>
      <c r="AJ59" s="42"/>
      <c r="AK59" s="42"/>
      <c r="AL59" s="42"/>
      <c r="AM59" s="42"/>
    </row>
    <row r="60" spans="30:43" ht="18.75" customHeight="1">
      <c r="AE60" s="76" t="s">
        <v>552</v>
      </c>
      <c r="AG60" s="42"/>
      <c r="AH60" s="42"/>
      <c r="AI60" s="42"/>
      <c r="AJ60" s="42"/>
      <c r="AK60" s="42"/>
      <c r="AL60" s="42"/>
      <c r="AM60" s="42"/>
    </row>
    <row r="61" spans="30:43" ht="27" customHeight="1">
      <c r="AE61" s="76" t="s">
        <v>522</v>
      </c>
      <c r="AH61" s="42"/>
      <c r="AI61" s="42"/>
      <c r="AJ61" s="42"/>
      <c r="AK61" s="42"/>
      <c r="AL61" s="42"/>
      <c r="AM61" s="42"/>
    </row>
    <row r="62" spans="30:43">
      <c r="AI62" s="42"/>
      <c r="AJ62" s="103"/>
      <c r="AK62" s="42"/>
      <c r="AL62" s="42"/>
    </row>
    <row r="63" spans="30:43" ht="12.75" hidden="1" customHeight="1"/>
    <row r="64" spans="30:43" ht="12.75" hidden="1" customHeight="1"/>
    <row r="65" spans="37:42" ht="12.75" hidden="1" customHeight="1"/>
    <row r="66" spans="37:42" ht="12.75" hidden="1" customHeight="1"/>
    <row r="67" spans="37:42" ht="12.75" hidden="1" customHeight="1"/>
    <row r="68" spans="37:42" ht="12.75" hidden="1" customHeight="1"/>
    <row r="69" spans="37:42" ht="12.75" hidden="1" customHeight="1"/>
    <row r="70" spans="37:42" ht="12.75" hidden="1" customHeight="1"/>
    <row r="80" spans="37:42">
      <c r="AK80" s="42"/>
      <c r="AL80" s="42"/>
      <c r="AM80" s="42"/>
      <c r="AN80" s="42"/>
      <c r="AO80" s="42" t="s">
        <v>544</v>
      </c>
      <c r="AP80" s="42"/>
    </row>
    <row r="81" spans="24:43" ht="13.8">
      <c r="AH81" s="314" t="s">
        <v>240</v>
      </c>
      <c r="AI81" s="314"/>
      <c r="AJ81" s="314"/>
      <c r="AK81" s="314"/>
      <c r="AL81" s="314"/>
      <c r="AM81" s="314"/>
      <c r="AN81" s="314"/>
      <c r="AO81" s="314"/>
      <c r="AP81" s="314"/>
      <c r="AQ81" s="314"/>
    </row>
    <row r="82" spans="24:43" ht="13.8">
      <c r="AH82" s="314" t="s">
        <v>172</v>
      </c>
      <c r="AI82" s="314"/>
      <c r="AJ82" s="314"/>
      <c r="AK82" s="314"/>
      <c r="AL82" s="314"/>
      <c r="AM82" s="314"/>
      <c r="AN82" s="314"/>
      <c r="AO82" s="314"/>
      <c r="AP82" s="314"/>
      <c r="AQ82" s="314"/>
    </row>
    <row r="84" spans="24:43">
      <c r="AH84" s="313" t="s">
        <v>561</v>
      </c>
      <c r="AI84" s="313" t="s">
        <v>562</v>
      </c>
      <c r="AJ84" s="313" t="s">
        <v>563</v>
      </c>
      <c r="AK84" s="313" t="s">
        <v>564</v>
      </c>
      <c r="AL84" s="313" t="s">
        <v>565</v>
      </c>
      <c r="AM84" s="313" t="s">
        <v>568</v>
      </c>
      <c r="AN84" s="313" t="s">
        <v>252</v>
      </c>
      <c r="AO84" s="313" t="s">
        <v>566</v>
      </c>
      <c r="AP84" s="313" t="s">
        <v>567</v>
      </c>
      <c r="AQ84" s="313"/>
    </row>
    <row r="85" spans="24:43">
      <c r="AH85" s="313"/>
      <c r="AI85" s="313"/>
      <c r="AJ85" s="313"/>
      <c r="AK85" s="313"/>
      <c r="AL85" s="313"/>
      <c r="AM85" s="313"/>
      <c r="AN85" s="313"/>
      <c r="AO85" s="313"/>
      <c r="AP85" s="310" t="s">
        <v>425</v>
      </c>
      <c r="AQ85" s="310" t="s">
        <v>426</v>
      </c>
    </row>
    <row r="86" spans="24:43">
      <c r="AH86" s="312">
        <v>1</v>
      </c>
      <c r="AI86" s="312">
        <v>2</v>
      </c>
      <c r="AJ86" s="312">
        <v>3</v>
      </c>
      <c r="AK86" s="312">
        <v>4</v>
      </c>
      <c r="AL86" s="312">
        <v>5</v>
      </c>
      <c r="AM86" s="312">
        <v>6</v>
      </c>
      <c r="AN86" s="312">
        <v>7</v>
      </c>
      <c r="AO86" s="312">
        <v>8</v>
      </c>
      <c r="AP86" s="312">
        <v>9</v>
      </c>
      <c r="AQ86" s="312">
        <v>10</v>
      </c>
    </row>
    <row r="87" spans="24:43">
      <c r="AH87" s="8">
        <v>1</v>
      </c>
      <c r="AI87" s="8" t="s">
        <v>614</v>
      </c>
      <c r="AJ87" s="207" t="s">
        <v>366</v>
      </c>
      <c r="AK87" s="188">
        <f>AS87</f>
        <v>0</v>
      </c>
      <c r="AL87" s="188">
        <f>ROUND(AO87*93%,0)</f>
        <v>0</v>
      </c>
      <c r="AM87" s="188">
        <f>AN87+AO87</f>
        <v>0</v>
      </c>
      <c r="AN87" s="188"/>
      <c r="AO87" s="188">
        <f>AT87</f>
        <v>0</v>
      </c>
      <c r="AP87" s="188">
        <f>AO87-AL87</f>
        <v>0</v>
      </c>
      <c r="AQ87" s="188"/>
    </row>
    <row r="88" spans="24:43">
      <c r="AH88" s="8"/>
      <c r="AI88" s="8" t="s">
        <v>635</v>
      </c>
      <c r="AJ88" s="207" t="s">
        <v>366</v>
      </c>
      <c r="AK88" s="188"/>
      <c r="AL88" s="188">
        <f>ROUND(AO88*98%,0)</f>
        <v>0</v>
      </c>
      <c r="AM88" s="188">
        <f>AN88+AO88</f>
        <v>0</v>
      </c>
      <c r="AN88" s="188"/>
      <c r="AO88" s="188">
        <f>AT88</f>
        <v>0</v>
      </c>
      <c r="AP88" s="188">
        <f>AO88-AL88</f>
        <v>0</v>
      </c>
      <c r="AQ88" s="188"/>
    </row>
    <row r="89" spans="24:43">
      <c r="AH89" s="8"/>
      <c r="AI89" s="8" t="s">
        <v>365</v>
      </c>
      <c r="AJ89" s="207" t="s">
        <v>366</v>
      </c>
      <c r="AK89" s="188"/>
      <c r="AL89" s="188">
        <f>ROUND(AO89*98%,0)</f>
        <v>0</v>
      </c>
      <c r="AM89" s="188">
        <f>AN89+AO89</f>
        <v>0</v>
      </c>
      <c r="AN89" s="188"/>
      <c r="AO89" s="188">
        <f>AT89</f>
        <v>0</v>
      </c>
      <c r="AP89" s="188">
        <f>AO89-AL89</f>
        <v>0</v>
      </c>
      <c r="AQ89" s="188"/>
    </row>
    <row r="90" spans="24:43">
      <c r="AH90" s="8"/>
      <c r="AI90" s="8" t="s">
        <v>531</v>
      </c>
      <c r="AJ90" s="207" t="s">
        <v>366</v>
      </c>
      <c r="AK90" s="188"/>
      <c r="AL90" s="188">
        <f>ROUND(AO90*98%,0)</f>
        <v>0</v>
      </c>
      <c r="AM90" s="188">
        <f>AN90+AO90</f>
        <v>0</v>
      </c>
      <c r="AN90" s="188"/>
      <c r="AO90" s="188">
        <f>AT90</f>
        <v>0</v>
      </c>
      <c r="AP90" s="188">
        <f>AO90-AL90</f>
        <v>0</v>
      </c>
      <c r="AQ90" s="188"/>
    </row>
    <row r="91" spans="24:43">
      <c r="AH91" s="8"/>
      <c r="AI91" s="8" t="s">
        <v>223</v>
      </c>
      <c r="AJ91" s="207" t="s">
        <v>366</v>
      </c>
      <c r="AK91" s="188"/>
      <c r="AL91" s="188">
        <f>ROUND(AO91*98%,0)</f>
        <v>0</v>
      </c>
      <c r="AM91" s="188">
        <f>AN91+AO91</f>
        <v>0</v>
      </c>
      <c r="AN91" s="188"/>
      <c r="AO91" s="188">
        <f>AT91</f>
        <v>0</v>
      </c>
      <c r="AP91" s="188">
        <f>AO91-AL91</f>
        <v>0</v>
      </c>
      <c r="AQ91" s="188"/>
    </row>
    <row r="92" spans="24:43">
      <c r="AH92" s="31"/>
      <c r="AI92" s="31" t="s">
        <v>203</v>
      </c>
      <c r="AJ92" s="92"/>
      <c r="AK92" s="52">
        <f>SUM(AK87:AK91)</f>
        <v>0</v>
      </c>
      <c r="AL92" s="52">
        <f t="shared" ref="AL92:AQ92" si="24">SUM(AL87:AL91)</f>
        <v>0</v>
      </c>
      <c r="AM92" s="52">
        <f t="shared" si="24"/>
        <v>0</v>
      </c>
      <c r="AN92" s="52">
        <f t="shared" si="24"/>
        <v>0</v>
      </c>
      <c r="AO92" s="52">
        <f t="shared" si="24"/>
        <v>0</v>
      </c>
      <c r="AP92" s="52">
        <f t="shared" si="24"/>
        <v>0</v>
      </c>
      <c r="AQ92" s="52">
        <f t="shared" si="24"/>
        <v>0</v>
      </c>
    </row>
    <row r="93" spans="24:43">
      <c r="AH93" s="8">
        <v>1</v>
      </c>
      <c r="AI93" s="8" t="s">
        <v>671</v>
      </c>
      <c r="AJ93" s="207" t="s">
        <v>366</v>
      </c>
      <c r="AK93" s="188">
        <f>AS93+AV93</f>
        <v>0</v>
      </c>
      <c r="AL93" s="188">
        <f>ROUND(AO93*93%,0)</f>
        <v>0</v>
      </c>
      <c r="AM93" s="188">
        <f>AN93+AO93</f>
        <v>3842690</v>
      </c>
      <c r="AN93" s="188">
        <f>3842690+AX93</f>
        <v>3842690</v>
      </c>
      <c r="AO93" s="188">
        <f>AT93+AW93</f>
        <v>0</v>
      </c>
      <c r="AP93" s="188">
        <f>AO93-AL93</f>
        <v>0</v>
      </c>
      <c r="AQ93" s="188"/>
    </row>
    <row r="94" spans="24:43">
      <c r="AH94" s="8"/>
      <c r="AI94" s="8" t="s">
        <v>635</v>
      </c>
      <c r="AJ94" s="207" t="s">
        <v>366</v>
      </c>
      <c r="AK94" s="188">
        <f>AS94+AV94</f>
        <v>0</v>
      </c>
      <c r="AL94" s="188">
        <f>ROUND(AO94*94%,0)</f>
        <v>0</v>
      </c>
      <c r="AM94" s="188">
        <f>AN94+AO94</f>
        <v>1748016</v>
      </c>
      <c r="AN94" s="188">
        <f>1748016+AX94</f>
        <v>1748016</v>
      </c>
      <c r="AO94" s="188">
        <f>AT94+AW94</f>
        <v>0</v>
      </c>
      <c r="AP94" s="188">
        <f>AO94-AL94</f>
        <v>0</v>
      </c>
      <c r="AQ94" s="188"/>
    </row>
    <row r="95" spans="24:43">
      <c r="AA95" s="42"/>
      <c r="AB95" s="42"/>
      <c r="AC95" s="42"/>
      <c r="AD95" s="42"/>
      <c r="AE95" s="42" t="s">
        <v>544</v>
      </c>
      <c r="AF95" s="42"/>
      <c r="AH95" s="8"/>
      <c r="AI95" s="8" t="s">
        <v>365</v>
      </c>
      <c r="AJ95" s="207" t="s">
        <v>366</v>
      </c>
      <c r="AK95" s="188">
        <f>AS95+AV95</f>
        <v>0</v>
      </c>
      <c r="AL95" s="188">
        <f>ROUND(AO95*96%,0)</f>
        <v>0</v>
      </c>
      <c r="AM95" s="188">
        <f>AN95+AO95</f>
        <v>244910</v>
      </c>
      <c r="AN95" s="188">
        <f>244910+AX95</f>
        <v>244910</v>
      </c>
      <c r="AO95" s="188">
        <f>AT95+AW95</f>
        <v>0</v>
      </c>
      <c r="AP95" s="188">
        <f>AO95-AL95</f>
        <v>0</v>
      </c>
      <c r="AQ95" s="188"/>
    </row>
    <row r="96" spans="24:43" ht="13.8">
      <c r="X96" s="314" t="s">
        <v>240</v>
      </c>
      <c r="Y96" s="314"/>
      <c r="Z96" s="314"/>
      <c r="AA96" s="314"/>
      <c r="AB96" s="314"/>
      <c r="AC96" s="314"/>
      <c r="AD96" s="314"/>
      <c r="AE96" s="314"/>
      <c r="AF96" s="314"/>
      <c r="AG96" s="314"/>
      <c r="AH96" s="8"/>
      <c r="AI96" s="8" t="s">
        <v>531</v>
      </c>
      <c r="AJ96" s="207" t="s">
        <v>366</v>
      </c>
      <c r="AK96" s="188">
        <f>AS96+AV96</f>
        <v>0</v>
      </c>
      <c r="AL96" s="188">
        <f>ROUND(AO96*98%,0)</f>
        <v>0</v>
      </c>
      <c r="AM96" s="188">
        <f>AN96+AO96</f>
        <v>0</v>
      </c>
      <c r="AN96" s="188">
        <v>0</v>
      </c>
      <c r="AO96" s="188">
        <f>AT96+AW96</f>
        <v>0</v>
      </c>
      <c r="AP96" s="188">
        <f>AO96-AL96</f>
        <v>0</v>
      </c>
      <c r="AQ96" s="188"/>
    </row>
    <row r="97" spans="19:52" ht="13.8">
      <c r="X97" s="314" t="s">
        <v>172</v>
      </c>
      <c r="Y97" s="314"/>
      <c r="Z97" s="314"/>
      <c r="AA97" s="314"/>
      <c r="AB97" s="314"/>
      <c r="AC97" s="314"/>
      <c r="AD97" s="314"/>
      <c r="AE97" s="314"/>
      <c r="AF97" s="314"/>
      <c r="AG97" s="314"/>
      <c r="AH97" s="8"/>
      <c r="AI97" s="8" t="s">
        <v>223</v>
      </c>
      <c r="AJ97" s="207" t="s">
        <v>366</v>
      </c>
      <c r="AK97" s="188">
        <f>AS97+AV97</f>
        <v>0</v>
      </c>
      <c r="AL97" s="188">
        <f>ROUND(AO97*98%,0)</f>
        <v>0</v>
      </c>
      <c r="AM97" s="188">
        <f>AN97+AO97</f>
        <v>502706</v>
      </c>
      <c r="AN97" s="188">
        <f>502706+AX97</f>
        <v>502706</v>
      </c>
      <c r="AO97" s="188">
        <f>AT97+AW97</f>
        <v>0</v>
      </c>
      <c r="AP97" s="188">
        <f>AO97-AL97</f>
        <v>0</v>
      </c>
      <c r="AQ97" s="188"/>
    </row>
    <row r="98" spans="19:52">
      <c r="AH98" s="31"/>
      <c r="AI98" s="31" t="s">
        <v>203</v>
      </c>
      <c r="AJ98" s="92"/>
      <c r="AK98" s="52">
        <f t="shared" ref="AK98:AQ98" si="25">SUM(AK93:AK97)</f>
        <v>0</v>
      </c>
      <c r="AL98" s="52">
        <f t="shared" si="25"/>
        <v>0</v>
      </c>
      <c r="AM98" s="52">
        <f t="shared" si="25"/>
        <v>6338322</v>
      </c>
      <c r="AN98" s="52">
        <f t="shared" si="25"/>
        <v>6338322</v>
      </c>
      <c r="AO98" s="52">
        <f t="shared" si="25"/>
        <v>0</v>
      </c>
      <c r="AP98" s="52">
        <f t="shared" si="25"/>
        <v>0</v>
      </c>
      <c r="AQ98" s="52">
        <f t="shared" si="25"/>
        <v>0</v>
      </c>
    </row>
    <row r="99" spans="19:52">
      <c r="X99" s="313" t="s">
        <v>561</v>
      </c>
      <c r="Y99" s="313" t="s">
        <v>562</v>
      </c>
      <c r="Z99" s="313" t="s">
        <v>563</v>
      </c>
      <c r="AA99" s="313" t="s">
        <v>564</v>
      </c>
      <c r="AB99" s="313" t="s">
        <v>565</v>
      </c>
      <c r="AC99" s="313" t="s">
        <v>568</v>
      </c>
      <c r="AD99" s="313" t="s">
        <v>252</v>
      </c>
      <c r="AE99" s="313" t="s">
        <v>566</v>
      </c>
      <c r="AF99" s="313" t="s">
        <v>567</v>
      </c>
      <c r="AG99" s="313"/>
      <c r="AH99" s="8">
        <v>1</v>
      </c>
      <c r="AI99" s="8" t="s">
        <v>434</v>
      </c>
      <c r="AJ99" s="207" t="s">
        <v>366</v>
      </c>
      <c r="AK99" s="188">
        <f t="shared" ref="AK99:AQ99" si="26">+AK87+AK93</f>
        <v>0</v>
      </c>
      <c r="AL99" s="188">
        <f t="shared" si="26"/>
        <v>0</v>
      </c>
      <c r="AM99" s="188">
        <f t="shared" si="26"/>
        <v>3842690</v>
      </c>
      <c r="AN99" s="188">
        <f t="shared" si="26"/>
        <v>3842690</v>
      </c>
      <c r="AO99" s="188">
        <f t="shared" si="26"/>
        <v>0</v>
      </c>
      <c r="AP99" s="188">
        <f t="shared" si="26"/>
        <v>0</v>
      </c>
      <c r="AQ99" s="188">
        <f t="shared" si="26"/>
        <v>0</v>
      </c>
    </row>
    <row r="100" spans="19:52">
      <c r="X100" s="313"/>
      <c r="Y100" s="313"/>
      <c r="Z100" s="313"/>
      <c r="AA100" s="313"/>
      <c r="AB100" s="313"/>
      <c r="AC100" s="313"/>
      <c r="AD100" s="313"/>
      <c r="AE100" s="313"/>
      <c r="AF100" s="310" t="s">
        <v>425</v>
      </c>
      <c r="AG100" s="310" t="s">
        <v>426</v>
      </c>
      <c r="AH100" s="8"/>
      <c r="AI100" s="8" t="s">
        <v>635</v>
      </c>
      <c r="AJ100" s="207" t="s">
        <v>366</v>
      </c>
      <c r="AK100" s="188">
        <f t="shared" ref="AK100:AQ100" si="27">+AK88+AK94</f>
        <v>0</v>
      </c>
      <c r="AL100" s="188">
        <f t="shared" si="27"/>
        <v>0</v>
      </c>
      <c r="AM100" s="188">
        <f t="shared" si="27"/>
        <v>1748016</v>
      </c>
      <c r="AN100" s="188">
        <f t="shared" si="27"/>
        <v>1748016</v>
      </c>
      <c r="AO100" s="188">
        <f t="shared" si="27"/>
        <v>0</v>
      </c>
      <c r="AP100" s="188">
        <f t="shared" si="27"/>
        <v>0</v>
      </c>
      <c r="AQ100" s="188">
        <f t="shared" si="27"/>
        <v>0</v>
      </c>
    </row>
    <row r="101" spans="19:52">
      <c r="X101" s="312">
        <v>1</v>
      </c>
      <c r="Y101" s="312">
        <v>2</v>
      </c>
      <c r="Z101" s="312">
        <v>3</v>
      </c>
      <c r="AA101" s="312">
        <v>4</v>
      </c>
      <c r="AB101" s="312">
        <v>5</v>
      </c>
      <c r="AC101" s="312">
        <v>6</v>
      </c>
      <c r="AD101" s="312">
        <v>7</v>
      </c>
      <c r="AE101" s="312">
        <v>8</v>
      </c>
      <c r="AF101" s="312">
        <v>9</v>
      </c>
      <c r="AG101" s="312">
        <v>10</v>
      </c>
      <c r="AH101" s="8"/>
      <c r="AI101" s="8" t="s">
        <v>365</v>
      </c>
      <c r="AJ101" s="207" t="s">
        <v>366</v>
      </c>
      <c r="AK101" s="188">
        <f t="shared" ref="AK101:AQ101" si="28">+AK89+AK95</f>
        <v>0</v>
      </c>
      <c r="AL101" s="188">
        <f t="shared" si="28"/>
        <v>0</v>
      </c>
      <c r="AM101" s="188">
        <f t="shared" si="28"/>
        <v>244910</v>
      </c>
      <c r="AN101" s="188">
        <f t="shared" si="28"/>
        <v>244910</v>
      </c>
      <c r="AO101" s="188">
        <f t="shared" si="28"/>
        <v>0</v>
      </c>
      <c r="AP101" s="188">
        <f t="shared" si="28"/>
        <v>0</v>
      </c>
      <c r="AQ101" s="188">
        <f t="shared" si="28"/>
        <v>0</v>
      </c>
    </row>
    <row r="102" spans="19:52">
      <c r="X102" s="8">
        <v>1</v>
      </c>
      <c r="Y102" s="8" t="s">
        <v>614</v>
      </c>
      <c r="Z102" s="207" t="s">
        <v>366</v>
      </c>
      <c r="AA102" s="188" t="str">
        <f>AI102</f>
        <v xml:space="preserve">          IV сорт</v>
      </c>
      <c r="AB102" s="188" t="e">
        <f>ROUND(AE102*93%,0)</f>
        <v>#VALUE!</v>
      </c>
      <c r="AC102" s="188" t="e">
        <f>AD102+AE102</f>
        <v>#VALUE!</v>
      </c>
      <c r="AD102" s="188"/>
      <c r="AE102" s="188" t="str">
        <f>AJ102</f>
        <v>Тонна</v>
      </c>
      <c r="AF102" s="188" t="e">
        <f>AE102-AB102</f>
        <v>#VALUE!</v>
      </c>
      <c r="AG102" s="188"/>
      <c r="AH102" s="8"/>
      <c r="AI102" s="8" t="s">
        <v>531</v>
      </c>
      <c r="AJ102" s="207" t="s">
        <v>366</v>
      </c>
      <c r="AK102" s="188">
        <f t="shared" ref="AK102:AQ102" si="29">+AK90+AK96</f>
        <v>0</v>
      </c>
      <c r="AL102" s="188">
        <f t="shared" si="29"/>
        <v>0</v>
      </c>
      <c r="AM102" s="188">
        <f t="shared" si="29"/>
        <v>0</v>
      </c>
      <c r="AN102" s="188">
        <f t="shared" si="29"/>
        <v>0</v>
      </c>
      <c r="AO102" s="188">
        <f t="shared" si="29"/>
        <v>0</v>
      </c>
      <c r="AP102" s="188">
        <f t="shared" si="29"/>
        <v>0</v>
      </c>
      <c r="AQ102" s="188">
        <f t="shared" si="29"/>
        <v>0</v>
      </c>
    </row>
    <row r="103" spans="19:52">
      <c r="X103" s="8"/>
      <c r="Y103" s="8" t="s">
        <v>635</v>
      </c>
      <c r="Z103" s="207" t="s">
        <v>366</v>
      </c>
      <c r="AA103" s="188"/>
      <c r="AB103" s="188" t="e">
        <f>ROUND(AE103*98%,0)</f>
        <v>#VALUE!</v>
      </c>
      <c r="AC103" s="188" t="e">
        <f>AD103+AE103</f>
        <v>#VALUE!</v>
      </c>
      <c r="AD103" s="188"/>
      <c r="AE103" s="188" t="str">
        <f>AJ103</f>
        <v>Тонна</v>
      </c>
      <c r="AF103" s="188" t="e">
        <f>AE103-AB103</f>
        <v>#VALUE!</v>
      </c>
      <c r="AG103" s="188"/>
      <c r="AH103" s="8"/>
      <c r="AI103" s="8" t="s">
        <v>223</v>
      </c>
      <c r="AJ103" s="207" t="s">
        <v>366</v>
      </c>
      <c r="AK103" s="188">
        <f t="shared" ref="AK103:AQ103" si="30">+AK91+AK97</f>
        <v>0</v>
      </c>
      <c r="AL103" s="188">
        <f t="shared" si="30"/>
        <v>0</v>
      </c>
      <c r="AM103" s="188">
        <f t="shared" si="30"/>
        <v>502706</v>
      </c>
      <c r="AN103" s="188">
        <f t="shared" si="30"/>
        <v>502706</v>
      </c>
      <c r="AO103" s="188">
        <f t="shared" si="30"/>
        <v>0</v>
      </c>
      <c r="AP103" s="188">
        <f t="shared" si="30"/>
        <v>0</v>
      </c>
      <c r="AQ103" s="188">
        <f t="shared" si="30"/>
        <v>0</v>
      </c>
    </row>
    <row r="104" spans="19:52">
      <c r="X104" s="8"/>
      <c r="Y104" s="8" t="s">
        <v>365</v>
      </c>
      <c r="Z104" s="207" t="s">
        <v>366</v>
      </c>
      <c r="AA104" s="188"/>
      <c r="AB104" s="188">
        <f>ROUND(AE104*98%,0)</f>
        <v>0</v>
      </c>
      <c r="AC104" s="188">
        <f>AD104+AE104</f>
        <v>0</v>
      </c>
      <c r="AD104" s="188"/>
      <c r="AE104" s="188">
        <f>AJ104</f>
        <v>0</v>
      </c>
      <c r="AF104" s="188">
        <f>AE104-AB104</f>
        <v>0</v>
      </c>
      <c r="AG104" s="188"/>
      <c r="AH104" s="31"/>
      <c r="AI104" s="31" t="s">
        <v>203</v>
      </c>
      <c r="AJ104" s="92"/>
      <c r="AK104" s="52">
        <f t="shared" ref="AK104:AQ104" si="31">SUM(AK99:AK103)</f>
        <v>0</v>
      </c>
      <c r="AL104" s="52">
        <f t="shared" si="31"/>
        <v>0</v>
      </c>
      <c r="AM104" s="52">
        <f t="shared" si="31"/>
        <v>6338322</v>
      </c>
      <c r="AN104" s="52">
        <f t="shared" si="31"/>
        <v>6338322</v>
      </c>
      <c r="AO104" s="52">
        <f t="shared" si="31"/>
        <v>0</v>
      </c>
      <c r="AP104" s="52">
        <f t="shared" si="31"/>
        <v>0</v>
      </c>
      <c r="AQ104" s="52">
        <f t="shared" si="31"/>
        <v>0</v>
      </c>
    </row>
    <row r="105" spans="19:52">
      <c r="X105" s="8"/>
      <c r="Y105" s="8" t="s">
        <v>531</v>
      </c>
      <c r="Z105" s="207" t="s">
        <v>366</v>
      </c>
      <c r="AA105" s="188"/>
      <c r="AB105" s="188" t="e">
        <f>ROUND(AE105*98%,0)</f>
        <v>#VALUE!</v>
      </c>
      <c r="AC105" s="188" t="e">
        <f>AD105+AE105</f>
        <v>#VALUE!</v>
      </c>
      <c r="AD105" s="188"/>
      <c r="AE105" s="188" t="str">
        <f>AJ105</f>
        <v>Тонна</v>
      </c>
      <c r="AF105" s="188" t="e">
        <f>AE105-AB105</f>
        <v>#VALUE!</v>
      </c>
      <c r="AG105" s="188"/>
      <c r="AH105" s="8">
        <v>2</v>
      </c>
      <c r="AI105" s="8" t="s">
        <v>204</v>
      </c>
      <c r="AJ105" s="207" t="s">
        <v>366</v>
      </c>
      <c r="AK105" s="188">
        <f>AS105+AS106</f>
        <v>0</v>
      </c>
      <c r="AL105" s="188">
        <f>AY105+AY106</f>
        <v>0</v>
      </c>
      <c r="AM105" s="188">
        <f t="shared" ref="AM105:AM110" si="32">AN105+AO105</f>
        <v>0</v>
      </c>
      <c r="AN105" s="188">
        <f t="shared" ref="AN105:AN110" si="33">ROUND(AO105*0.2,0)</f>
        <v>0</v>
      </c>
      <c r="AO105" s="188">
        <f>AT105+AT106</f>
        <v>0</v>
      </c>
      <c r="AP105" s="188">
        <f t="shared" ref="AP105:AP110" si="34">AO105-AL105</f>
        <v>0</v>
      </c>
      <c r="AQ105" s="188"/>
    </row>
    <row r="106" spans="19:52">
      <c r="X106" s="8"/>
      <c r="Y106" s="8" t="s">
        <v>223</v>
      </c>
      <c r="Z106" s="207" t="s">
        <v>366</v>
      </c>
      <c r="AA106" s="188"/>
      <c r="AB106" s="188" t="e">
        <f>ROUND(AE106*98%,0)</f>
        <v>#VALUE!</v>
      </c>
      <c r="AC106" s="188" t="e">
        <f>AD106+AE106</f>
        <v>#VALUE!</v>
      </c>
      <c r="AD106" s="188"/>
      <c r="AE106" s="188" t="str">
        <f>AJ106</f>
        <v>Тонна</v>
      </c>
      <c r="AF106" s="188" t="e">
        <f>AE106-AB106</f>
        <v>#VALUE!</v>
      </c>
      <c r="AG106" s="188"/>
      <c r="AH106" s="8"/>
      <c r="AI106" s="8" t="s">
        <v>410</v>
      </c>
      <c r="AJ106" s="207" t="s">
        <v>366</v>
      </c>
      <c r="AK106" s="188">
        <f>AS107+AS108</f>
        <v>0</v>
      </c>
      <c r="AL106" s="188">
        <f>AY107+AY108</f>
        <v>0</v>
      </c>
      <c r="AM106" s="188">
        <f t="shared" si="32"/>
        <v>0</v>
      </c>
      <c r="AN106" s="188">
        <f t="shared" si="33"/>
        <v>0</v>
      </c>
      <c r="AO106" s="188">
        <f>AT107+AT108</f>
        <v>0</v>
      </c>
      <c r="AP106" s="188">
        <f t="shared" si="34"/>
        <v>0</v>
      </c>
      <c r="AQ106" s="188"/>
    </row>
    <row r="107" spans="19:52">
      <c r="S107" s="9"/>
      <c r="T107" s="9"/>
      <c r="U107" s="9"/>
      <c r="V107" s="9"/>
      <c r="W107" s="9"/>
      <c r="X107" s="31"/>
      <c r="Y107" s="31" t="s">
        <v>203</v>
      </c>
      <c r="Z107" s="92"/>
      <c r="AA107" s="52">
        <f>SUM(AA102:AA106)</f>
        <v>0</v>
      </c>
      <c r="AB107" s="52" t="e">
        <f t="shared" ref="AB107:AG107" si="35">SUM(AB102:AB106)</f>
        <v>#VALUE!</v>
      </c>
      <c r="AC107" s="52" t="e">
        <f t="shared" si="35"/>
        <v>#VALUE!</v>
      </c>
      <c r="AD107" s="52">
        <f t="shared" si="35"/>
        <v>0</v>
      </c>
      <c r="AE107" s="52">
        <f t="shared" si="35"/>
        <v>0</v>
      </c>
      <c r="AF107" s="52" t="e">
        <f t="shared" si="35"/>
        <v>#VALUE!</v>
      </c>
      <c r="AG107" s="52">
        <f t="shared" si="35"/>
        <v>0</v>
      </c>
      <c r="AH107" s="8"/>
      <c r="AI107" s="8" t="s">
        <v>258</v>
      </c>
      <c r="AJ107" s="207" t="s">
        <v>366</v>
      </c>
      <c r="AK107" s="188">
        <f>AS109</f>
        <v>0</v>
      </c>
      <c r="AL107" s="188">
        <f>AY109</f>
        <v>0</v>
      </c>
      <c r="AM107" s="188">
        <f t="shared" si="32"/>
        <v>0</v>
      </c>
      <c r="AN107" s="188">
        <f t="shared" si="33"/>
        <v>0</v>
      </c>
      <c r="AO107" s="188">
        <f>AT109</f>
        <v>0</v>
      </c>
      <c r="AP107" s="188">
        <f t="shared" si="34"/>
        <v>0</v>
      </c>
      <c r="AQ107" s="188"/>
      <c r="AR107" s="9"/>
      <c r="AS107" s="9"/>
      <c r="AT107" s="9"/>
      <c r="AU107" s="9"/>
      <c r="AV107" s="9"/>
      <c r="AW107" s="9"/>
      <c r="AX107" s="9"/>
      <c r="AY107" s="9"/>
      <c r="AZ107" s="9"/>
    </row>
    <row r="108" spans="19:52">
      <c r="X108" s="8">
        <v>1</v>
      </c>
      <c r="Y108" s="8" t="s">
        <v>671</v>
      </c>
      <c r="Z108" s="207" t="s">
        <v>366</v>
      </c>
      <c r="AA108" s="188" t="e">
        <f>AI108+AL108</f>
        <v>#VALUE!</v>
      </c>
      <c r="AB108" s="188" t="e">
        <f>ROUND(AE108*93%,0)</f>
        <v>#VALUE!</v>
      </c>
      <c r="AC108" s="188" t="e">
        <f>AD108+AE108</f>
        <v>#VALUE!</v>
      </c>
      <c r="AD108" s="188">
        <f>3842690+AN108</f>
        <v>3842690</v>
      </c>
      <c r="AE108" s="188" t="e">
        <f>AJ108+AM108</f>
        <v>#VALUE!</v>
      </c>
      <c r="AF108" s="188" t="e">
        <f>AE108-AB108</f>
        <v>#VALUE!</v>
      </c>
      <c r="AG108" s="188"/>
      <c r="AH108" s="8"/>
      <c r="AI108" s="8" t="s">
        <v>431</v>
      </c>
      <c r="AJ108" s="207" t="s">
        <v>366</v>
      </c>
      <c r="AK108" s="188">
        <f>AS110</f>
        <v>0</v>
      </c>
      <c r="AL108" s="188">
        <v>0</v>
      </c>
      <c r="AM108" s="188">
        <f t="shared" si="32"/>
        <v>0</v>
      </c>
      <c r="AN108" s="188">
        <f t="shared" si="33"/>
        <v>0</v>
      </c>
      <c r="AO108" s="188">
        <f>AT110</f>
        <v>0</v>
      </c>
      <c r="AP108" s="188">
        <f t="shared" si="34"/>
        <v>0</v>
      </c>
      <c r="AQ108" s="188"/>
    </row>
    <row r="109" spans="19:52">
      <c r="X109" s="8"/>
      <c r="Y109" s="8" t="s">
        <v>635</v>
      </c>
      <c r="Z109" s="207" t="s">
        <v>366</v>
      </c>
      <c r="AA109" s="188" t="e">
        <f>AI109+AL109</f>
        <v>#VALUE!</v>
      </c>
      <c r="AB109" s="188" t="e">
        <f>ROUND(AE109*94%,0)</f>
        <v>#VALUE!</v>
      </c>
      <c r="AC109" s="188" t="e">
        <f>AD109+AE109</f>
        <v>#VALUE!</v>
      </c>
      <c r="AD109" s="188">
        <f>1748016+AN109</f>
        <v>1748016</v>
      </c>
      <c r="AE109" s="188" t="e">
        <f>AJ109+AM109</f>
        <v>#VALUE!</v>
      </c>
      <c r="AF109" s="188" t="e">
        <f>AE109-AB109</f>
        <v>#VALUE!</v>
      </c>
      <c r="AG109" s="188"/>
      <c r="AH109" s="8"/>
      <c r="AI109" s="8" t="s">
        <v>407</v>
      </c>
      <c r="AJ109" s="207" t="s">
        <v>366</v>
      </c>
      <c r="AK109" s="188">
        <v>0</v>
      </c>
      <c r="AL109" s="188">
        <v>0</v>
      </c>
      <c r="AM109" s="188">
        <f t="shared" si="32"/>
        <v>0</v>
      </c>
      <c r="AN109" s="188">
        <f t="shared" si="33"/>
        <v>0</v>
      </c>
      <c r="AO109" s="188">
        <v>0</v>
      </c>
      <c r="AP109" s="188">
        <f t="shared" si="34"/>
        <v>0</v>
      </c>
      <c r="AQ109" s="188"/>
    </row>
    <row r="110" spans="19:52">
      <c r="X110" s="8"/>
      <c r="Y110" s="8" t="s">
        <v>365</v>
      </c>
      <c r="Z110" s="207" t="s">
        <v>366</v>
      </c>
      <c r="AA110" s="188" t="e">
        <f>AI110+AL110</f>
        <v>#VALUE!</v>
      </c>
      <c r="AB110" s="188" t="e">
        <f>ROUND(AE110*96%,0)</f>
        <v>#VALUE!</v>
      </c>
      <c r="AC110" s="188" t="e">
        <f>AD110+AE110</f>
        <v>#VALUE!</v>
      </c>
      <c r="AD110" s="188">
        <f>244910+AN110</f>
        <v>244910</v>
      </c>
      <c r="AE110" s="188" t="e">
        <f>AJ110+AM110</f>
        <v>#VALUE!</v>
      </c>
      <c r="AF110" s="188" t="e">
        <f>AE110-AB110</f>
        <v>#VALUE!</v>
      </c>
      <c r="AG110" s="188"/>
      <c r="AH110" s="8"/>
      <c r="AI110" s="8" t="s">
        <v>674</v>
      </c>
      <c r="AJ110" s="207" t="s">
        <v>366</v>
      </c>
      <c r="AK110" s="188">
        <v>0</v>
      </c>
      <c r="AL110" s="188">
        <v>0</v>
      </c>
      <c r="AM110" s="188">
        <f t="shared" si="32"/>
        <v>0</v>
      </c>
      <c r="AN110" s="188">
        <f t="shared" si="33"/>
        <v>0</v>
      </c>
      <c r="AO110" s="188">
        <f>AT110</f>
        <v>0</v>
      </c>
      <c r="AP110" s="188">
        <f t="shared" si="34"/>
        <v>0</v>
      </c>
      <c r="AQ110" s="188"/>
    </row>
    <row r="111" spans="19:52">
      <c r="X111" s="8"/>
      <c r="Y111" s="8" t="s">
        <v>531</v>
      </c>
      <c r="Z111" s="207" t="s">
        <v>366</v>
      </c>
      <c r="AA111" s="188" t="e">
        <f>AI111+AL111</f>
        <v>#VALUE!</v>
      </c>
      <c r="AB111" s="188">
        <f>ROUND(AE111*98%,0)</f>
        <v>0</v>
      </c>
      <c r="AC111" s="188">
        <f>AD111+AE111</f>
        <v>0</v>
      </c>
      <c r="AD111" s="188">
        <v>0</v>
      </c>
      <c r="AE111" s="188">
        <f>AJ111+AM111</f>
        <v>0</v>
      </c>
      <c r="AF111" s="188">
        <f>AE111-AB111</f>
        <v>0</v>
      </c>
      <c r="AG111" s="188"/>
      <c r="AH111" s="31"/>
      <c r="AI111" s="31" t="s">
        <v>654</v>
      </c>
      <c r="AJ111" s="31"/>
      <c r="AK111" s="52">
        <f>SUM(AK105:AK110)</f>
        <v>0</v>
      </c>
      <c r="AL111" s="52">
        <f t="shared" ref="AL111:AQ111" si="36">SUM(AL105:AL110)</f>
        <v>0</v>
      </c>
      <c r="AM111" s="52">
        <f t="shared" si="36"/>
        <v>0</v>
      </c>
      <c r="AN111" s="52">
        <f t="shared" si="36"/>
        <v>0</v>
      </c>
      <c r="AO111" s="52">
        <f t="shared" si="36"/>
        <v>0</v>
      </c>
      <c r="AP111" s="52">
        <f t="shared" si="36"/>
        <v>0</v>
      </c>
      <c r="AQ111" s="52">
        <f t="shared" si="36"/>
        <v>0</v>
      </c>
    </row>
    <row r="112" spans="19:52">
      <c r="X112" s="8"/>
      <c r="Y112" s="8" t="s">
        <v>223</v>
      </c>
      <c r="Z112" s="207" t="s">
        <v>366</v>
      </c>
      <c r="AA112" s="188" t="e">
        <f>AI112+AL112</f>
        <v>#VALUE!</v>
      </c>
      <c r="AB112" s="188" t="e">
        <f>ROUND(AE112*98%,0)</f>
        <v>#VALUE!</v>
      </c>
      <c r="AC112" s="188" t="e">
        <f>AD112+AE112</f>
        <v>#VALUE!</v>
      </c>
      <c r="AD112" s="188">
        <f>502706+AN112</f>
        <v>502706</v>
      </c>
      <c r="AE112" s="188" t="e">
        <f>AJ112+AM112</f>
        <v>#VALUE!</v>
      </c>
      <c r="AF112" s="188" t="e">
        <f>AE112-AB112</f>
        <v>#VALUE!</v>
      </c>
      <c r="AG112" s="188"/>
      <c r="AH112" s="8">
        <v>3</v>
      </c>
      <c r="AI112" s="8" t="s">
        <v>655</v>
      </c>
      <c r="AJ112" s="207" t="s">
        <v>366</v>
      </c>
      <c r="AK112" s="188" t="e">
        <f>[4]Хлоппродук!L100+[4]Хлоппродук!L101</f>
        <v>#REF!</v>
      </c>
      <c r="AL112" s="188">
        <v>7195138.1419999991</v>
      </c>
      <c r="AM112" s="188">
        <f>AL112</f>
        <v>7195138.1419999991</v>
      </c>
      <c r="AN112" s="188">
        <v>0</v>
      </c>
      <c r="AO112" s="188">
        <f>AM112</f>
        <v>7195138.1419999991</v>
      </c>
      <c r="AP112" s="188">
        <f>AO112-AL112</f>
        <v>0</v>
      </c>
      <c r="AQ112" s="188"/>
    </row>
    <row r="113" spans="19:52">
      <c r="S113" s="9"/>
      <c r="T113" s="9"/>
      <c r="U113" s="9"/>
      <c r="V113" s="9"/>
      <c r="W113" s="9"/>
      <c r="X113" s="31"/>
      <c r="Y113" s="31" t="s">
        <v>203</v>
      </c>
      <c r="Z113" s="92"/>
      <c r="AA113" s="52" t="e">
        <f t="shared" ref="AA113:AG113" si="37">SUM(AA108:AA112)</f>
        <v>#VALUE!</v>
      </c>
      <c r="AB113" s="52" t="e">
        <f t="shared" si="37"/>
        <v>#VALUE!</v>
      </c>
      <c r="AC113" s="52" t="e">
        <f t="shared" si="37"/>
        <v>#VALUE!</v>
      </c>
      <c r="AD113" s="52">
        <f t="shared" si="37"/>
        <v>6338322</v>
      </c>
      <c r="AE113" s="52" t="e">
        <f t="shared" si="37"/>
        <v>#VALUE!</v>
      </c>
      <c r="AF113" s="52" t="e">
        <f t="shared" si="37"/>
        <v>#VALUE!</v>
      </c>
      <c r="AG113" s="52">
        <f t="shared" si="37"/>
        <v>0</v>
      </c>
      <c r="AH113" s="31"/>
      <c r="AI113" s="31" t="s">
        <v>371</v>
      </c>
      <c r="AJ113" s="31"/>
      <c r="AK113" s="52" t="e">
        <f t="shared" ref="AK113:AQ113" si="38">SUM(AK112:AK112)</f>
        <v>#REF!</v>
      </c>
      <c r="AL113" s="52">
        <f t="shared" si="38"/>
        <v>7195138.1419999991</v>
      </c>
      <c r="AM113" s="52">
        <f t="shared" si="38"/>
        <v>7195138.1419999991</v>
      </c>
      <c r="AN113" s="52">
        <f t="shared" si="38"/>
        <v>0</v>
      </c>
      <c r="AO113" s="52">
        <f t="shared" si="38"/>
        <v>7195138.1419999991</v>
      </c>
      <c r="AP113" s="52">
        <f t="shared" si="38"/>
        <v>0</v>
      </c>
      <c r="AQ113" s="52">
        <f t="shared" si="38"/>
        <v>0</v>
      </c>
      <c r="AR113" s="9"/>
      <c r="AS113" s="9"/>
      <c r="AT113" s="9"/>
      <c r="AU113" s="9"/>
      <c r="AV113" s="9"/>
      <c r="AW113" s="9"/>
      <c r="AX113" s="9"/>
      <c r="AY113" s="9"/>
      <c r="AZ113" s="9"/>
    </row>
    <row r="114" spans="19:52">
      <c r="X114" s="8">
        <v>1</v>
      </c>
      <c r="Y114" s="8" t="s">
        <v>434</v>
      </c>
      <c r="Z114" s="207" t="s">
        <v>366</v>
      </c>
      <c r="AA114" s="188" t="e">
        <f t="shared" ref="AA114:AG114" si="39">+AA102+AA108</f>
        <v>#VALUE!</v>
      </c>
      <c r="AB114" s="188" t="e">
        <f t="shared" si="39"/>
        <v>#VALUE!</v>
      </c>
      <c r="AC114" s="188" t="e">
        <f t="shared" si="39"/>
        <v>#VALUE!</v>
      </c>
      <c r="AD114" s="188">
        <f t="shared" si="39"/>
        <v>3842690</v>
      </c>
      <c r="AE114" s="188" t="e">
        <f t="shared" si="39"/>
        <v>#VALUE!</v>
      </c>
      <c r="AF114" s="188" t="e">
        <f t="shared" si="39"/>
        <v>#VALUE!</v>
      </c>
      <c r="AG114" s="188">
        <f t="shared" si="39"/>
        <v>0</v>
      </c>
      <c r="AH114" s="8">
        <v>4</v>
      </c>
      <c r="AI114" s="8" t="s">
        <v>435</v>
      </c>
      <c r="AJ114" s="207" t="s">
        <v>366</v>
      </c>
      <c r="AK114" s="188"/>
      <c r="AL114" s="188"/>
      <c r="AM114" s="188"/>
      <c r="AN114" s="188"/>
      <c r="AO114" s="188"/>
      <c r="AP114" s="188">
        <f>AO114-AL114</f>
        <v>0</v>
      </c>
      <c r="AQ114" s="188"/>
    </row>
    <row r="115" spans="19:52">
      <c r="X115" s="8"/>
      <c r="Y115" s="8" t="s">
        <v>635</v>
      </c>
      <c r="Z115" s="207" t="s">
        <v>366</v>
      </c>
      <c r="AA115" s="188" t="e">
        <f t="shared" ref="AA115:AG115" si="40">+AA103+AA109</f>
        <v>#VALUE!</v>
      </c>
      <c r="AB115" s="188" t="e">
        <f t="shared" si="40"/>
        <v>#VALUE!</v>
      </c>
      <c r="AC115" s="188" t="e">
        <f t="shared" si="40"/>
        <v>#VALUE!</v>
      </c>
      <c r="AD115" s="188">
        <f t="shared" si="40"/>
        <v>1748016</v>
      </c>
      <c r="AE115" s="188" t="e">
        <f t="shared" si="40"/>
        <v>#VALUE!</v>
      </c>
      <c r="AF115" s="188" t="e">
        <f t="shared" si="40"/>
        <v>#VALUE!</v>
      </c>
      <c r="AG115" s="188">
        <f t="shared" si="40"/>
        <v>0</v>
      </c>
      <c r="AH115" s="8"/>
      <c r="AI115" s="8" t="s">
        <v>560</v>
      </c>
      <c r="AJ115" s="207" t="s">
        <v>366</v>
      </c>
      <c r="AK115" s="188">
        <v>339</v>
      </c>
      <c r="AL115" s="188">
        <f>AY115+AY116+AY117</f>
        <v>0</v>
      </c>
      <c r="AM115" s="188">
        <f>AN115+AO115</f>
        <v>0</v>
      </c>
      <c r="AN115" s="188">
        <f>ROUND(AO115*0.2,0)</f>
        <v>0</v>
      </c>
      <c r="AO115" s="188">
        <f>AT115</f>
        <v>0</v>
      </c>
      <c r="AP115" s="188">
        <f>AO115-AL115</f>
        <v>0</v>
      </c>
      <c r="AQ115" s="188"/>
    </row>
    <row r="116" spans="19:52">
      <c r="X116" s="8"/>
      <c r="Y116" s="8" t="s">
        <v>365</v>
      </c>
      <c r="Z116" s="207" t="s">
        <v>366</v>
      </c>
      <c r="AA116" s="188" t="e">
        <f t="shared" ref="AA116:AG116" si="41">+AA104+AA110</f>
        <v>#VALUE!</v>
      </c>
      <c r="AB116" s="188" t="e">
        <f t="shared" si="41"/>
        <v>#VALUE!</v>
      </c>
      <c r="AC116" s="188" t="e">
        <f t="shared" si="41"/>
        <v>#VALUE!</v>
      </c>
      <c r="AD116" s="188">
        <f t="shared" si="41"/>
        <v>244910</v>
      </c>
      <c r="AE116" s="188" t="e">
        <f t="shared" si="41"/>
        <v>#VALUE!</v>
      </c>
      <c r="AF116" s="188" t="e">
        <f t="shared" si="41"/>
        <v>#VALUE!</v>
      </c>
      <c r="AG116" s="188">
        <f t="shared" si="41"/>
        <v>0</v>
      </c>
      <c r="AH116" s="8"/>
      <c r="AI116" s="8" t="s">
        <v>559</v>
      </c>
      <c r="AJ116" s="207"/>
      <c r="AK116" s="188"/>
      <c r="AL116" s="188"/>
      <c r="AM116" s="188"/>
      <c r="AN116" s="188">
        <f>ROUND(AM116*20/120,0)</f>
        <v>0</v>
      </c>
      <c r="AO116" s="188">
        <f>AM116-AN116</f>
        <v>0</v>
      </c>
      <c r="AP116" s="188">
        <f>AO116-AL116</f>
        <v>0</v>
      </c>
      <c r="AQ116" s="188"/>
    </row>
    <row r="117" spans="19:52">
      <c r="X117" s="8"/>
      <c r="Y117" s="8" t="s">
        <v>531</v>
      </c>
      <c r="Z117" s="207" t="s">
        <v>366</v>
      </c>
      <c r="AA117" s="188" t="e">
        <f t="shared" ref="AA117:AG117" si="42">+AA105+AA111</f>
        <v>#VALUE!</v>
      </c>
      <c r="AB117" s="188" t="e">
        <f t="shared" si="42"/>
        <v>#VALUE!</v>
      </c>
      <c r="AC117" s="188" t="e">
        <f t="shared" si="42"/>
        <v>#VALUE!</v>
      </c>
      <c r="AD117" s="188">
        <f t="shared" si="42"/>
        <v>0</v>
      </c>
      <c r="AE117" s="188" t="e">
        <f t="shared" si="42"/>
        <v>#VALUE!</v>
      </c>
      <c r="AF117" s="188" t="e">
        <f t="shared" si="42"/>
        <v>#VALUE!</v>
      </c>
      <c r="AG117" s="188">
        <f t="shared" si="42"/>
        <v>0</v>
      </c>
      <c r="AH117" s="31"/>
      <c r="AI117" s="31" t="s">
        <v>436</v>
      </c>
      <c r="AJ117" s="52"/>
      <c r="AK117" s="52">
        <f>SUM(AK114:AK116)</f>
        <v>339</v>
      </c>
      <c r="AL117" s="52">
        <f t="shared" ref="AL117:AQ117" si="43">SUM(AL114:AL116)</f>
        <v>0</v>
      </c>
      <c r="AM117" s="52">
        <f t="shared" si="43"/>
        <v>0</v>
      </c>
      <c r="AN117" s="52">
        <f t="shared" si="43"/>
        <v>0</v>
      </c>
      <c r="AO117" s="52">
        <f t="shared" si="43"/>
        <v>0</v>
      </c>
      <c r="AP117" s="52">
        <f t="shared" si="43"/>
        <v>0</v>
      </c>
      <c r="AQ117" s="52">
        <f t="shared" si="43"/>
        <v>0</v>
      </c>
    </row>
    <row r="118" spans="19:52">
      <c r="X118" s="8"/>
      <c r="Y118" s="8" t="s">
        <v>223</v>
      </c>
      <c r="Z118" s="207" t="s">
        <v>366</v>
      </c>
      <c r="AA118" s="188" t="e">
        <f t="shared" ref="AA118:AG118" si="44">+AA106+AA112</f>
        <v>#VALUE!</v>
      </c>
      <c r="AB118" s="188" t="e">
        <f t="shared" si="44"/>
        <v>#VALUE!</v>
      </c>
      <c r="AC118" s="188" t="e">
        <f t="shared" si="44"/>
        <v>#VALUE!</v>
      </c>
      <c r="AD118" s="188">
        <f t="shared" si="44"/>
        <v>502706</v>
      </c>
      <c r="AE118" s="188" t="e">
        <f t="shared" si="44"/>
        <v>#VALUE!</v>
      </c>
      <c r="AF118" s="188" t="e">
        <f t="shared" si="44"/>
        <v>#VALUE!</v>
      </c>
      <c r="AG118" s="188">
        <f t="shared" si="44"/>
        <v>0</v>
      </c>
      <c r="AH118" s="8">
        <v>5</v>
      </c>
      <c r="AI118" s="8" t="s">
        <v>656</v>
      </c>
      <c r="AJ118" s="207" t="s">
        <v>366</v>
      </c>
      <c r="AK118" s="188">
        <v>41.503999999999998</v>
      </c>
      <c r="AL118" s="188">
        <v>28925</v>
      </c>
      <c r="AM118" s="188">
        <f>ROUND(+AL118*120%,0)</f>
        <v>34710</v>
      </c>
      <c r="AN118" s="188">
        <f>ROUND(AM118*20/120,0)</f>
        <v>5785</v>
      </c>
      <c r="AO118" s="188">
        <f>AM118-AN118</f>
        <v>28925</v>
      </c>
      <c r="AP118" s="188">
        <f>AO118-AL118</f>
        <v>0</v>
      </c>
      <c r="AQ118" s="188"/>
    </row>
    <row r="119" spans="19:52">
      <c r="S119" s="9"/>
      <c r="T119" s="9"/>
      <c r="U119" s="9"/>
      <c r="V119" s="9"/>
      <c r="W119" s="9"/>
      <c r="X119" s="31"/>
      <c r="Y119" s="31" t="s">
        <v>203</v>
      </c>
      <c r="Z119" s="92"/>
      <c r="AA119" s="52" t="e">
        <f t="shared" ref="AA119:AG119" si="45">SUM(AA114:AA118)</f>
        <v>#VALUE!</v>
      </c>
      <c r="AB119" s="52" t="e">
        <f t="shared" si="45"/>
        <v>#VALUE!</v>
      </c>
      <c r="AC119" s="52" t="e">
        <f t="shared" si="45"/>
        <v>#VALUE!</v>
      </c>
      <c r="AD119" s="52">
        <f t="shared" si="45"/>
        <v>6338322</v>
      </c>
      <c r="AE119" s="52" t="e">
        <f t="shared" si="45"/>
        <v>#VALUE!</v>
      </c>
      <c r="AF119" s="52" t="e">
        <f t="shared" si="45"/>
        <v>#VALUE!</v>
      </c>
      <c r="AG119" s="52">
        <f t="shared" si="45"/>
        <v>0</v>
      </c>
      <c r="AH119" s="8">
        <v>6</v>
      </c>
      <c r="AI119" s="8" t="s">
        <v>657</v>
      </c>
      <c r="AJ119" s="207" t="s">
        <v>366</v>
      </c>
      <c r="AK119" s="188">
        <v>359</v>
      </c>
      <c r="AL119" s="188">
        <v>151828</v>
      </c>
      <c r="AM119" s="188">
        <f>ROUND(+AL119*120%,0)</f>
        <v>182194</v>
      </c>
      <c r="AN119" s="188">
        <f>ROUND(AM119*20/120,0)</f>
        <v>30366</v>
      </c>
      <c r="AO119" s="188">
        <f>AM119-AN119</f>
        <v>151828</v>
      </c>
      <c r="AP119" s="188">
        <f>AO119-AL119</f>
        <v>0</v>
      </c>
      <c r="AQ119" s="188"/>
      <c r="AR119" s="9"/>
      <c r="AS119" s="9"/>
      <c r="AT119" s="9"/>
      <c r="AU119" s="9"/>
      <c r="AV119" s="9"/>
      <c r="AW119" s="9"/>
      <c r="AX119" s="9"/>
      <c r="AY119" s="9"/>
      <c r="AZ119" s="9"/>
    </row>
    <row r="120" spans="19:52">
      <c r="X120" s="8">
        <v>2</v>
      </c>
      <c r="Y120" s="8" t="s">
        <v>204</v>
      </c>
      <c r="Z120" s="207" t="s">
        <v>366</v>
      </c>
      <c r="AA120" s="188" t="e">
        <f>AI120+AI121</f>
        <v>#VALUE!</v>
      </c>
      <c r="AB120" s="188">
        <f>AO120+AO121</f>
        <v>7375891.1419999991</v>
      </c>
      <c r="AC120" s="188">
        <f t="shared" ref="AC120:AC125" si="46">AD120+AE120</f>
        <v>0</v>
      </c>
      <c r="AD120" s="188">
        <f t="shared" ref="AD120:AD125" si="47">ROUND(AE120*0.2,0)</f>
        <v>0</v>
      </c>
      <c r="AE120" s="188">
        <f>AJ120+AJ121</f>
        <v>0</v>
      </c>
      <c r="AF120" s="188">
        <f t="shared" ref="AF120:AF125" si="48">AE120-AB120</f>
        <v>-7375891.1419999991</v>
      </c>
      <c r="AG120" s="188"/>
      <c r="AH120" s="31"/>
      <c r="AI120" s="31" t="s">
        <v>570</v>
      </c>
      <c r="AJ120" s="31"/>
      <c r="AK120" s="40" t="s">
        <v>251</v>
      </c>
      <c r="AL120" s="52">
        <f t="shared" ref="AL120:AQ120" si="49">+AL104+AL111+AL113+AL117+AL118+AL119</f>
        <v>7375891.1419999991</v>
      </c>
      <c r="AM120" s="52">
        <f t="shared" si="49"/>
        <v>13750364.141999999</v>
      </c>
      <c r="AN120" s="52">
        <f t="shared" si="49"/>
        <v>6374473</v>
      </c>
      <c r="AO120" s="52">
        <f t="shared" si="49"/>
        <v>7375891.1419999991</v>
      </c>
      <c r="AP120" s="52">
        <f t="shared" si="49"/>
        <v>0</v>
      </c>
      <c r="AQ120" s="52">
        <f t="shared" si="49"/>
        <v>0</v>
      </c>
    </row>
    <row r="121" spans="19:52">
      <c r="X121" s="8"/>
      <c r="Y121" s="8" t="s">
        <v>410</v>
      </c>
      <c r="Z121" s="207" t="s">
        <v>366</v>
      </c>
      <c r="AA121" s="188" t="e">
        <f>AI122+AI123</f>
        <v>#VALUE!</v>
      </c>
      <c r="AB121" s="188">
        <f>AO122+AO123</f>
        <v>10585</v>
      </c>
      <c r="AC121" s="188" t="e">
        <f t="shared" si="46"/>
        <v>#VALUE!</v>
      </c>
      <c r="AD121" s="188" t="e">
        <f t="shared" si="47"/>
        <v>#VALUE!</v>
      </c>
      <c r="AE121" s="188" t="e">
        <f>AJ122+AJ123</f>
        <v>#VALUE!</v>
      </c>
      <c r="AF121" s="188" t="e">
        <f t="shared" si="48"/>
        <v>#VALUE!</v>
      </c>
      <c r="AG121" s="188"/>
      <c r="AH121" s="8">
        <v>7</v>
      </c>
      <c r="AI121" s="8" t="s">
        <v>658</v>
      </c>
      <c r="AJ121" s="8"/>
      <c r="AK121" s="188"/>
      <c r="AL121" s="188"/>
      <c r="AM121" s="188">
        <f t="shared" ref="AM121:AM129" si="50">ROUND(+AL121*120%,0)</f>
        <v>0</v>
      </c>
      <c r="AN121" s="188">
        <f t="shared" ref="AN121:AN129" si="51">ROUND(AM121*20/120,0)</f>
        <v>0</v>
      </c>
      <c r="AO121" s="188">
        <f t="shared" ref="AO121:AO127" si="52">AM121-AN121</f>
        <v>0</v>
      </c>
      <c r="AP121" s="188"/>
      <c r="AQ121" s="188"/>
    </row>
    <row r="122" spans="19:52">
      <c r="X122" s="8"/>
      <c r="Y122" s="8" t="s">
        <v>258</v>
      </c>
      <c r="Z122" s="207" t="s">
        <v>366</v>
      </c>
      <c r="AA122" s="188" t="str">
        <f>AI124</f>
        <v>Тегирмон хизмати</v>
      </c>
      <c r="AB122" s="188">
        <f>AO124</f>
        <v>3025924</v>
      </c>
      <c r="AC122" s="188">
        <f t="shared" si="46"/>
        <v>0</v>
      </c>
      <c r="AD122" s="188">
        <f t="shared" si="47"/>
        <v>0</v>
      </c>
      <c r="AE122" s="188">
        <f>AJ124</f>
        <v>0</v>
      </c>
      <c r="AF122" s="188">
        <f t="shared" si="48"/>
        <v>-3025924</v>
      </c>
      <c r="AG122" s="188"/>
      <c r="AH122" s="8">
        <f>AH121+1</f>
        <v>8</v>
      </c>
      <c r="AI122" s="8" t="s">
        <v>665</v>
      </c>
      <c r="AJ122" s="207" t="s">
        <v>366</v>
      </c>
      <c r="AK122" s="188">
        <v>35.9</v>
      </c>
      <c r="AL122" s="188">
        <v>10585</v>
      </c>
      <c r="AM122" s="188">
        <f t="shared" si="50"/>
        <v>12702</v>
      </c>
      <c r="AN122" s="188">
        <f t="shared" si="51"/>
        <v>2117</v>
      </c>
      <c r="AO122" s="188">
        <f t="shared" si="52"/>
        <v>10585</v>
      </c>
      <c r="AP122" s="188">
        <f t="shared" ref="AP122:AP128" si="53">AO122-AL122</f>
        <v>0</v>
      </c>
      <c r="AQ122" s="188"/>
    </row>
    <row r="123" spans="19:52">
      <c r="X123" s="8"/>
      <c r="Y123" s="8" t="s">
        <v>431</v>
      </c>
      <c r="Z123" s="207" t="s">
        <v>366</v>
      </c>
      <c r="AA123" s="188" t="str">
        <f>AI125</f>
        <v>Пахтадан йигир ип</v>
      </c>
      <c r="AB123" s="188">
        <v>0</v>
      </c>
      <c r="AC123" s="188">
        <f t="shared" si="46"/>
        <v>0</v>
      </c>
      <c r="AD123" s="188">
        <f t="shared" si="47"/>
        <v>0</v>
      </c>
      <c r="AE123" s="188">
        <f>AJ125</f>
        <v>0</v>
      </c>
      <c r="AF123" s="188">
        <f t="shared" si="48"/>
        <v>0</v>
      </c>
      <c r="AG123" s="188"/>
      <c r="AH123" s="8">
        <f t="shared" ref="AH123:AH135" si="54">AH122+1</f>
        <v>9</v>
      </c>
      <c r="AI123" s="8" t="s">
        <v>672</v>
      </c>
      <c r="AJ123" s="8"/>
      <c r="AK123" s="188"/>
      <c r="AL123" s="188"/>
      <c r="AM123" s="188">
        <f t="shared" si="50"/>
        <v>0</v>
      </c>
      <c r="AN123" s="188">
        <f t="shared" si="51"/>
        <v>0</v>
      </c>
      <c r="AO123" s="188">
        <f t="shared" si="52"/>
        <v>0</v>
      </c>
      <c r="AP123" s="188">
        <f t="shared" si="53"/>
        <v>0</v>
      </c>
      <c r="AQ123" s="188"/>
    </row>
    <row r="124" spans="19:52">
      <c r="X124" s="8"/>
      <c r="Y124" s="8" t="s">
        <v>407</v>
      </c>
      <c r="Z124" s="207" t="s">
        <v>366</v>
      </c>
      <c r="AA124" s="188">
        <v>0</v>
      </c>
      <c r="AB124" s="188">
        <v>0</v>
      </c>
      <c r="AC124" s="188">
        <f t="shared" si="46"/>
        <v>0</v>
      </c>
      <c r="AD124" s="188">
        <f t="shared" si="47"/>
        <v>0</v>
      </c>
      <c r="AE124" s="188">
        <v>0</v>
      </c>
      <c r="AF124" s="188">
        <f t="shared" si="48"/>
        <v>0</v>
      </c>
      <c r="AG124" s="188"/>
      <c r="AH124" s="8">
        <f t="shared" si="54"/>
        <v>10</v>
      </c>
      <c r="AI124" s="8" t="s">
        <v>305</v>
      </c>
      <c r="AJ124" s="207"/>
      <c r="AK124" s="188"/>
      <c r="AL124" s="188">
        <v>3025924.3</v>
      </c>
      <c r="AM124" s="188">
        <f t="shared" si="50"/>
        <v>3631109</v>
      </c>
      <c r="AN124" s="188">
        <f t="shared" si="51"/>
        <v>605185</v>
      </c>
      <c r="AO124" s="188">
        <f t="shared" si="52"/>
        <v>3025924</v>
      </c>
      <c r="AP124" s="188">
        <f t="shared" si="53"/>
        <v>-0.29999999981373549</v>
      </c>
      <c r="AQ124" s="188"/>
    </row>
    <row r="125" spans="19:52">
      <c r="X125" s="8"/>
      <c r="Y125" s="8" t="s">
        <v>674</v>
      </c>
      <c r="Z125" s="207" t="s">
        <v>366</v>
      </c>
      <c r="AA125" s="188">
        <v>0</v>
      </c>
      <c r="AB125" s="188">
        <v>0</v>
      </c>
      <c r="AC125" s="188">
        <f t="shared" si="46"/>
        <v>0</v>
      </c>
      <c r="AD125" s="188">
        <f t="shared" si="47"/>
        <v>0</v>
      </c>
      <c r="AE125" s="188">
        <f>AJ125</f>
        <v>0</v>
      </c>
      <c r="AF125" s="188">
        <f t="shared" si="48"/>
        <v>0</v>
      </c>
      <c r="AG125" s="188"/>
      <c r="AH125" s="8">
        <f t="shared" si="54"/>
        <v>11</v>
      </c>
      <c r="AI125" s="8" t="s">
        <v>573</v>
      </c>
      <c r="AJ125" s="8"/>
      <c r="AK125" s="188"/>
      <c r="AL125" s="188"/>
      <c r="AM125" s="188">
        <f t="shared" si="50"/>
        <v>0</v>
      </c>
      <c r="AN125" s="188">
        <f t="shared" si="51"/>
        <v>0</v>
      </c>
      <c r="AO125" s="188">
        <f t="shared" si="52"/>
        <v>0</v>
      </c>
      <c r="AP125" s="188">
        <f t="shared" si="53"/>
        <v>0</v>
      </c>
      <c r="AQ125" s="188"/>
    </row>
    <row r="126" spans="19:52">
      <c r="S126" s="9"/>
      <c r="T126" s="9"/>
      <c r="U126" s="9"/>
      <c r="V126" s="9"/>
      <c r="W126" s="9"/>
      <c r="X126" s="31"/>
      <c r="Y126" s="31" t="s">
        <v>654</v>
      </c>
      <c r="Z126" s="31"/>
      <c r="AA126" s="52" t="e">
        <f>SUM(AA120:AA125)</f>
        <v>#VALUE!</v>
      </c>
      <c r="AB126" s="52">
        <f t="shared" ref="AB126:AG126" si="55">SUM(AB120:AB125)</f>
        <v>10412400.141999999</v>
      </c>
      <c r="AC126" s="52" t="e">
        <f t="shared" si="55"/>
        <v>#VALUE!</v>
      </c>
      <c r="AD126" s="52" t="e">
        <f t="shared" si="55"/>
        <v>#VALUE!</v>
      </c>
      <c r="AE126" s="52" t="e">
        <f t="shared" si="55"/>
        <v>#VALUE!</v>
      </c>
      <c r="AF126" s="52" t="e">
        <f t="shared" si="55"/>
        <v>#VALUE!</v>
      </c>
      <c r="AG126" s="52">
        <f t="shared" si="55"/>
        <v>0</v>
      </c>
      <c r="AH126" s="8">
        <f t="shared" si="54"/>
        <v>12</v>
      </c>
      <c r="AI126" s="8" t="s">
        <v>380</v>
      </c>
      <c r="AJ126" s="8"/>
      <c r="AK126" s="188"/>
      <c r="AL126" s="188"/>
      <c r="AM126" s="188">
        <f t="shared" si="50"/>
        <v>0</v>
      </c>
      <c r="AN126" s="188">
        <f t="shared" si="51"/>
        <v>0</v>
      </c>
      <c r="AO126" s="188">
        <f t="shared" si="52"/>
        <v>0</v>
      </c>
      <c r="AP126" s="188">
        <f t="shared" si="53"/>
        <v>0</v>
      </c>
      <c r="AQ126" s="188"/>
      <c r="AR126" s="9"/>
      <c r="AS126" s="9"/>
      <c r="AT126" s="9"/>
      <c r="AU126" s="9"/>
      <c r="AV126" s="9"/>
      <c r="AW126" s="9"/>
      <c r="AX126" s="9"/>
      <c r="AY126" s="9"/>
      <c r="AZ126" s="9"/>
    </row>
    <row r="127" spans="19:52">
      <c r="X127" s="8">
        <v>3</v>
      </c>
      <c r="Y127" s="8" t="s">
        <v>655</v>
      </c>
      <c r="Z127" s="207" t="s">
        <v>366</v>
      </c>
      <c r="AA127" s="188" t="e">
        <f>[4]Хлоппродук!B115+[4]Хлоппродук!B116</f>
        <v>#REF!</v>
      </c>
      <c r="AB127" s="188">
        <v>7195138.1419999991</v>
      </c>
      <c r="AC127" s="188">
        <f>AB127</f>
        <v>7195138.1419999991</v>
      </c>
      <c r="AD127" s="188">
        <v>0</v>
      </c>
      <c r="AE127" s="188">
        <f>AC127</f>
        <v>7195138.1419999991</v>
      </c>
      <c r="AF127" s="188">
        <f>AE127-AB127</f>
        <v>0</v>
      </c>
      <c r="AG127" s="188"/>
      <c r="AH127" s="8">
        <f t="shared" si="54"/>
        <v>13</v>
      </c>
      <c r="AI127" s="8" t="s">
        <v>336</v>
      </c>
      <c r="AJ127" s="207" t="s">
        <v>366</v>
      </c>
      <c r="AK127" s="188">
        <v>42.2</v>
      </c>
      <c r="AL127" s="188">
        <v>42225</v>
      </c>
      <c r="AM127" s="188">
        <f t="shared" si="50"/>
        <v>50670</v>
      </c>
      <c r="AN127" s="188">
        <f t="shared" si="51"/>
        <v>8445</v>
      </c>
      <c r="AO127" s="188">
        <f t="shared" si="52"/>
        <v>42225</v>
      </c>
      <c r="AP127" s="188">
        <f t="shared" si="53"/>
        <v>0</v>
      </c>
      <c r="AQ127" s="188"/>
    </row>
    <row r="128" spans="19:52">
      <c r="S128" s="9"/>
      <c r="T128" s="9"/>
      <c r="U128" s="9"/>
      <c r="V128" s="9"/>
      <c r="W128" s="9"/>
      <c r="X128" s="31"/>
      <c r="Y128" s="31" t="s">
        <v>371</v>
      </c>
      <c r="Z128" s="31"/>
      <c r="AA128" s="52" t="e">
        <f t="shared" ref="AA128:AG128" si="56">SUM(AA127:AA127)</f>
        <v>#REF!</v>
      </c>
      <c r="AB128" s="52">
        <f t="shared" si="56"/>
        <v>7195138.1419999991</v>
      </c>
      <c r="AC128" s="52">
        <f t="shared" si="56"/>
        <v>7195138.1419999991</v>
      </c>
      <c r="AD128" s="52">
        <f t="shared" si="56"/>
        <v>0</v>
      </c>
      <c r="AE128" s="52">
        <f t="shared" si="56"/>
        <v>7195138.1419999991</v>
      </c>
      <c r="AF128" s="52">
        <f t="shared" si="56"/>
        <v>0</v>
      </c>
      <c r="AG128" s="52">
        <f t="shared" si="56"/>
        <v>0</v>
      </c>
      <c r="AH128" s="8">
        <f t="shared" si="54"/>
        <v>14</v>
      </c>
      <c r="AI128" s="8" t="s">
        <v>399</v>
      </c>
      <c r="AJ128" s="8"/>
      <c r="AK128" s="188"/>
      <c r="AL128" s="188"/>
      <c r="AM128" s="188">
        <f t="shared" si="50"/>
        <v>0</v>
      </c>
      <c r="AN128" s="188">
        <f t="shared" si="51"/>
        <v>0</v>
      </c>
      <c r="AO128" s="188">
        <f>AM128-AN128</f>
        <v>0</v>
      </c>
      <c r="AP128" s="188">
        <f t="shared" si="53"/>
        <v>0</v>
      </c>
      <c r="AQ128" s="188"/>
      <c r="AR128" s="9"/>
      <c r="AS128" s="9"/>
      <c r="AT128" s="9"/>
      <c r="AU128" s="9"/>
      <c r="AV128" s="9"/>
      <c r="AW128" s="9"/>
      <c r="AX128" s="9"/>
      <c r="AY128" s="9"/>
      <c r="AZ128" s="9"/>
    </row>
    <row r="129" spans="19:52">
      <c r="X129" s="8">
        <v>4</v>
      </c>
      <c r="Y129" s="8" t="s">
        <v>435</v>
      </c>
      <c r="Z129" s="207" t="s">
        <v>366</v>
      </c>
      <c r="AA129" s="188"/>
      <c r="AB129" s="188"/>
      <c r="AC129" s="188"/>
      <c r="AD129" s="188"/>
      <c r="AE129" s="188"/>
      <c r="AF129" s="188">
        <f>AE129-AB129</f>
        <v>0</v>
      </c>
      <c r="AG129" s="188"/>
      <c r="AH129" s="8">
        <f t="shared" si="54"/>
        <v>15</v>
      </c>
      <c r="AI129" s="8" t="s">
        <v>653</v>
      </c>
      <c r="AJ129" s="8"/>
      <c r="AK129" s="188"/>
      <c r="AL129" s="188">
        <v>792203</v>
      </c>
      <c r="AM129" s="188">
        <f t="shared" si="50"/>
        <v>950644</v>
      </c>
      <c r="AN129" s="188">
        <f t="shared" si="51"/>
        <v>158441</v>
      </c>
      <c r="AO129" s="188">
        <f>AM129-AN129</f>
        <v>792203</v>
      </c>
      <c r="AP129" s="188">
        <f>AO129-AL129</f>
        <v>0</v>
      </c>
      <c r="AQ129" s="188"/>
    </row>
    <row r="130" spans="19:52">
      <c r="X130" s="8"/>
      <c r="Y130" s="8" t="s">
        <v>560</v>
      </c>
      <c r="Z130" s="207" t="s">
        <v>366</v>
      </c>
      <c r="AA130" s="188">
        <v>339</v>
      </c>
      <c r="AB130" s="188">
        <f>AO130+AO131+AO132</f>
        <v>552980</v>
      </c>
      <c r="AC130" s="188">
        <f>AD130+AE130</f>
        <v>0</v>
      </c>
      <c r="AD130" s="188">
        <f>ROUND(AE130*0.2,0)</f>
        <v>0</v>
      </c>
      <c r="AE130" s="188">
        <f>AJ130</f>
        <v>0</v>
      </c>
      <c r="AF130" s="188">
        <f>AE130-AB130</f>
        <v>-552980</v>
      </c>
      <c r="AG130" s="188"/>
      <c r="AH130" s="8">
        <f t="shared" si="54"/>
        <v>16</v>
      </c>
      <c r="AI130" s="8" t="s">
        <v>171</v>
      </c>
      <c r="AJ130" s="8"/>
      <c r="AK130" s="188"/>
      <c r="AL130" s="188">
        <f>635927/1.15</f>
        <v>552980</v>
      </c>
      <c r="AM130" s="188">
        <f>AO130+AN130</f>
        <v>635927</v>
      </c>
      <c r="AN130" s="188">
        <f>AO130*0.15</f>
        <v>82947</v>
      </c>
      <c r="AO130" s="188">
        <f>635927/1.15</f>
        <v>552980</v>
      </c>
      <c r="AP130" s="188">
        <f t="shared" ref="AP130:AP135" si="57">AO130-AL130</f>
        <v>0</v>
      </c>
      <c r="AQ130" s="188"/>
    </row>
    <row r="131" spans="19:52">
      <c r="X131" s="8"/>
      <c r="Y131" s="8" t="s">
        <v>559</v>
      </c>
      <c r="Z131" s="207"/>
      <c r="AA131" s="188"/>
      <c r="AB131" s="188"/>
      <c r="AC131" s="188"/>
      <c r="AD131" s="188">
        <f>ROUND(AC131*20/120,0)</f>
        <v>0</v>
      </c>
      <c r="AE131" s="188">
        <f>AC131-AD131</f>
        <v>0</v>
      </c>
      <c r="AF131" s="188">
        <f>AE131-AB131</f>
        <v>0</v>
      </c>
      <c r="AG131" s="188"/>
      <c r="AH131" s="8">
        <f t="shared" si="54"/>
        <v>17</v>
      </c>
      <c r="AI131" s="8" t="s">
        <v>637</v>
      </c>
      <c r="AJ131" s="8"/>
      <c r="AK131" s="188"/>
      <c r="AL131" s="188"/>
      <c r="AM131" s="188">
        <f>ROUND(+AL131*120%,0)</f>
        <v>0</v>
      </c>
      <c r="AN131" s="188">
        <f>ROUND(AM131*20/120,0)</f>
        <v>0</v>
      </c>
      <c r="AO131" s="188">
        <f>AM131-AN131</f>
        <v>0</v>
      </c>
      <c r="AP131" s="188">
        <f t="shared" si="57"/>
        <v>0</v>
      </c>
      <c r="AQ131" s="188"/>
    </row>
    <row r="132" spans="19:52">
      <c r="S132" s="9"/>
      <c r="T132" s="9"/>
      <c r="U132" s="9"/>
      <c r="V132" s="9"/>
      <c r="W132" s="9"/>
      <c r="X132" s="31"/>
      <c r="Y132" s="31" t="s">
        <v>436</v>
      </c>
      <c r="Z132" s="52"/>
      <c r="AA132" s="52">
        <f>SUM(AA129:AA131)</f>
        <v>339</v>
      </c>
      <c r="AB132" s="52">
        <f t="shared" ref="AB132:AG132" si="58">SUM(AB129:AB131)</f>
        <v>552980</v>
      </c>
      <c r="AC132" s="52">
        <f t="shared" si="58"/>
        <v>0</v>
      </c>
      <c r="AD132" s="52">
        <f t="shared" si="58"/>
        <v>0</v>
      </c>
      <c r="AE132" s="52">
        <f t="shared" si="58"/>
        <v>0</v>
      </c>
      <c r="AF132" s="52">
        <f t="shared" si="58"/>
        <v>-552980</v>
      </c>
      <c r="AG132" s="52">
        <f t="shared" si="58"/>
        <v>0</v>
      </c>
      <c r="AH132" s="8">
        <f t="shared" si="54"/>
        <v>18</v>
      </c>
      <c r="AI132" s="8" t="s">
        <v>646</v>
      </c>
      <c r="AJ132" s="8"/>
      <c r="AK132" s="188"/>
      <c r="AL132" s="188"/>
      <c r="AM132" s="188">
        <f>ROUND(+AL132*120%,0)</f>
        <v>0</v>
      </c>
      <c r="AN132" s="188">
        <f>ROUND(AM132*20/120,0)</f>
        <v>0</v>
      </c>
      <c r="AO132" s="188">
        <f>AM132-AN132</f>
        <v>0</v>
      </c>
      <c r="AP132" s="188">
        <f t="shared" si="57"/>
        <v>0</v>
      </c>
      <c r="AQ132" s="188"/>
      <c r="AR132" s="9"/>
      <c r="AS132" s="9"/>
      <c r="AT132" s="9"/>
      <c r="AU132" s="9"/>
      <c r="AV132" s="9"/>
      <c r="AW132" s="9"/>
      <c r="AX132" s="9"/>
      <c r="AY132" s="9"/>
      <c r="AZ132" s="9"/>
    </row>
    <row r="133" spans="19:52">
      <c r="X133" s="8">
        <v>5</v>
      </c>
      <c r="Y133" s="8" t="s">
        <v>656</v>
      </c>
      <c r="Z133" s="207" t="s">
        <v>366</v>
      </c>
      <c r="AA133" s="188">
        <v>41.503999999999998</v>
      </c>
      <c r="AB133" s="188">
        <v>28925</v>
      </c>
      <c r="AC133" s="188">
        <f>ROUND(+AB133*120%,0)</f>
        <v>34710</v>
      </c>
      <c r="AD133" s="188">
        <f>ROUND(AC133*20/120,0)</f>
        <v>5785</v>
      </c>
      <c r="AE133" s="188">
        <f>AC133-AD133</f>
        <v>28925</v>
      </c>
      <c r="AF133" s="188">
        <f>AE133-AB133</f>
        <v>0</v>
      </c>
      <c r="AG133" s="188"/>
      <c r="AH133" s="8">
        <f t="shared" si="54"/>
        <v>19</v>
      </c>
      <c r="AI133" s="8" t="s">
        <v>647</v>
      </c>
      <c r="AJ133" s="8"/>
      <c r="AK133" s="188"/>
      <c r="AL133" s="188"/>
      <c r="AM133" s="188">
        <f>ROUND(+AL133*120%,0)</f>
        <v>0</v>
      </c>
      <c r="AN133" s="188">
        <f>ROUND(AM133*20/120,0)</f>
        <v>0</v>
      </c>
      <c r="AO133" s="188">
        <f>AM133-AN133</f>
        <v>0</v>
      </c>
      <c r="AP133" s="188">
        <f t="shared" si="57"/>
        <v>0</v>
      </c>
      <c r="AQ133" s="188"/>
    </row>
    <row r="134" spans="19:52">
      <c r="X134" s="8">
        <v>6</v>
      </c>
      <c r="Y134" s="8" t="s">
        <v>657</v>
      </c>
      <c r="Z134" s="207" t="s">
        <v>366</v>
      </c>
      <c r="AA134" s="188">
        <v>359</v>
      </c>
      <c r="AB134" s="188">
        <v>151828</v>
      </c>
      <c r="AC134" s="188">
        <f>ROUND(+AB134*120%,0)</f>
        <v>182194</v>
      </c>
      <c r="AD134" s="188">
        <f>ROUND(AC134*20/120,0)</f>
        <v>30366</v>
      </c>
      <c r="AE134" s="188">
        <f>AC134-AD134</f>
        <v>151828</v>
      </c>
      <c r="AF134" s="188">
        <f>AE134-AB134</f>
        <v>0</v>
      </c>
      <c r="AG134" s="188"/>
      <c r="AH134" s="8">
        <f t="shared" si="54"/>
        <v>20</v>
      </c>
      <c r="AI134" s="8" t="s">
        <v>634</v>
      </c>
      <c r="AJ134" s="207"/>
      <c r="AK134" s="188"/>
      <c r="AL134" s="188"/>
      <c r="AM134" s="188">
        <f>ROUND(+AL134*120%,0)</f>
        <v>0</v>
      </c>
      <c r="AN134" s="188">
        <f>ROUND(AM134*20/120,0)</f>
        <v>0</v>
      </c>
      <c r="AO134" s="188">
        <f>AM134-AN134</f>
        <v>0</v>
      </c>
      <c r="AP134" s="188">
        <f t="shared" si="57"/>
        <v>0</v>
      </c>
      <c r="AQ134" s="188"/>
    </row>
    <row r="135" spans="19:52">
      <c r="S135" s="9"/>
      <c r="T135" s="9"/>
      <c r="U135" s="9"/>
      <c r="V135" s="9"/>
      <c r="W135" s="9"/>
      <c r="X135" s="31"/>
      <c r="Y135" s="31" t="s">
        <v>570</v>
      </c>
      <c r="Z135" s="31"/>
      <c r="AA135" s="40" t="s">
        <v>251</v>
      </c>
      <c r="AB135" s="52" t="e">
        <f t="shared" ref="AB135:AG135" si="59">+AB119+AB126+AB128+AB132+AB133+AB134</f>
        <v>#VALUE!</v>
      </c>
      <c r="AC135" s="52" t="e">
        <f t="shared" si="59"/>
        <v>#VALUE!</v>
      </c>
      <c r="AD135" s="52" t="e">
        <f t="shared" si="59"/>
        <v>#VALUE!</v>
      </c>
      <c r="AE135" s="52" t="e">
        <f t="shared" si="59"/>
        <v>#VALUE!</v>
      </c>
      <c r="AF135" s="52" t="e">
        <f t="shared" si="59"/>
        <v>#VALUE!</v>
      </c>
      <c r="AG135" s="52">
        <f t="shared" si="59"/>
        <v>0</v>
      </c>
      <c r="AH135" s="8">
        <f t="shared" si="54"/>
        <v>21</v>
      </c>
      <c r="AI135" s="8" t="s">
        <v>390</v>
      </c>
      <c r="AJ135" s="8"/>
      <c r="AK135" s="188"/>
      <c r="AL135" s="188"/>
      <c r="AM135" s="188">
        <f>ROUND(+AL135*120%,0)</f>
        <v>0</v>
      </c>
      <c r="AN135" s="188">
        <f>ROUND(AM135*20/120,0)</f>
        <v>0</v>
      </c>
      <c r="AO135" s="188">
        <f>AM135-AN135</f>
        <v>0</v>
      </c>
      <c r="AP135" s="188">
        <f t="shared" si="57"/>
        <v>0</v>
      </c>
      <c r="AQ135" s="188"/>
      <c r="AR135" s="9"/>
      <c r="AS135" s="9"/>
      <c r="AT135" s="9"/>
      <c r="AU135" s="9"/>
      <c r="AV135" s="9"/>
      <c r="AW135" s="9"/>
      <c r="AX135" s="9"/>
      <c r="AY135" s="9"/>
      <c r="AZ135" s="9"/>
    </row>
    <row r="136" spans="19:52">
      <c r="X136" s="8">
        <v>7</v>
      </c>
      <c r="Y136" s="8" t="s">
        <v>658</v>
      </c>
      <c r="Z136" s="8"/>
      <c r="AA136" s="188"/>
      <c r="AB136" s="188"/>
      <c r="AC136" s="188">
        <f t="shared" ref="AC136:AC144" si="60">ROUND(+AB136*120%,0)</f>
        <v>0</v>
      </c>
      <c r="AD136" s="188">
        <f t="shared" ref="AD136:AD144" si="61">ROUND(AC136*20/120,0)</f>
        <v>0</v>
      </c>
      <c r="AE136" s="188">
        <f t="shared" ref="AE136:AE142" si="62">AC136-AD136</f>
        <v>0</v>
      </c>
      <c r="AF136" s="188"/>
      <c r="AG136" s="188"/>
      <c r="AH136" s="8"/>
      <c r="AI136" s="31" t="s">
        <v>685</v>
      </c>
      <c r="AJ136" s="31"/>
      <c r="AK136" s="52">
        <f t="shared" ref="AK136:AQ136" si="63">AK121+AK122+AK123+AK124+AK127+AK128+AK129+AK130+AK131+AK132+AK133+AK134+AK135</f>
        <v>78.099999999999994</v>
      </c>
      <c r="AL136" s="52">
        <f t="shared" si="63"/>
        <v>4423917.3</v>
      </c>
      <c r="AM136" s="52">
        <f t="shared" si="63"/>
        <v>5281052</v>
      </c>
      <c r="AN136" s="52">
        <f t="shared" si="63"/>
        <v>857135</v>
      </c>
      <c r="AO136" s="52">
        <f t="shared" si="63"/>
        <v>4423917</v>
      </c>
      <c r="AP136" s="52">
        <f t="shared" si="63"/>
        <v>-0.29999999981373549</v>
      </c>
      <c r="AQ136" s="52">
        <f t="shared" si="63"/>
        <v>0</v>
      </c>
    </row>
    <row r="137" spans="19:52">
      <c r="X137" s="8">
        <f>X136+1</f>
        <v>8</v>
      </c>
      <c r="Y137" s="8" t="s">
        <v>665</v>
      </c>
      <c r="Z137" s="207" t="s">
        <v>366</v>
      </c>
      <c r="AA137" s="188">
        <v>35.9</v>
      </c>
      <c r="AB137" s="188">
        <v>10585</v>
      </c>
      <c r="AC137" s="188">
        <f t="shared" si="60"/>
        <v>12702</v>
      </c>
      <c r="AD137" s="188">
        <f t="shared" si="61"/>
        <v>2117</v>
      </c>
      <c r="AE137" s="188">
        <f t="shared" si="62"/>
        <v>10585</v>
      </c>
      <c r="AF137" s="188">
        <f t="shared" ref="AF137:AF143" si="64">AE137-AB137</f>
        <v>0</v>
      </c>
      <c r="AG137" s="188"/>
      <c r="AH137" s="8"/>
      <c r="AI137" s="31" t="s">
        <v>433</v>
      </c>
      <c r="AJ137" s="31"/>
      <c r="AK137" s="40" t="s">
        <v>251</v>
      </c>
      <c r="AL137" s="52">
        <f t="shared" ref="AL137:AQ137" si="65">AL120+AL136</f>
        <v>11799808.441999998</v>
      </c>
      <c r="AM137" s="52">
        <f t="shared" si="65"/>
        <v>19031416.141999997</v>
      </c>
      <c r="AN137" s="52">
        <f t="shared" si="65"/>
        <v>7231608</v>
      </c>
      <c r="AO137" s="52">
        <f t="shared" si="65"/>
        <v>11799808.141999999</v>
      </c>
      <c r="AP137" s="52">
        <f t="shared" si="65"/>
        <v>-0.29999999981373549</v>
      </c>
      <c r="AQ137" s="52">
        <f t="shared" si="65"/>
        <v>0</v>
      </c>
    </row>
    <row r="138" spans="19:52">
      <c r="X138" s="8">
        <f t="shared" ref="X138:X150" si="66">X137+1</f>
        <v>9</v>
      </c>
      <c r="Y138" s="8" t="s">
        <v>672</v>
      </c>
      <c r="Z138" s="8"/>
      <c r="AA138" s="188"/>
      <c r="AB138" s="188"/>
      <c r="AC138" s="188">
        <f t="shared" si="60"/>
        <v>0</v>
      </c>
      <c r="AD138" s="188">
        <f t="shared" si="61"/>
        <v>0</v>
      </c>
      <c r="AE138" s="188">
        <f t="shared" si="62"/>
        <v>0</v>
      </c>
      <c r="AF138" s="188">
        <f t="shared" si="64"/>
        <v>0</v>
      </c>
      <c r="AG138" s="188"/>
      <c r="AK138" s="42"/>
      <c r="AL138" s="42"/>
      <c r="AM138" s="42"/>
      <c r="AN138" s="42"/>
      <c r="AO138" s="42"/>
      <c r="AP138" s="42"/>
      <c r="AQ138" s="42"/>
    </row>
    <row r="139" spans="19:52" ht="13.8">
      <c r="X139" s="8">
        <f t="shared" si="66"/>
        <v>10</v>
      </c>
      <c r="Y139" s="8" t="s">
        <v>305</v>
      </c>
      <c r="Z139" s="207"/>
      <c r="AA139" s="188"/>
      <c r="AB139" s="188">
        <v>3025924.3</v>
      </c>
      <c r="AC139" s="188">
        <f t="shared" si="60"/>
        <v>3631109</v>
      </c>
      <c r="AD139" s="188">
        <f t="shared" si="61"/>
        <v>605185</v>
      </c>
      <c r="AE139" s="188">
        <f t="shared" si="62"/>
        <v>3025924</v>
      </c>
      <c r="AF139" s="188">
        <f t="shared" si="64"/>
        <v>-0.29999999981373549</v>
      </c>
      <c r="AG139" s="188"/>
      <c r="AI139" s="76" t="s">
        <v>552</v>
      </c>
      <c r="AK139" s="42"/>
      <c r="AL139" s="42"/>
      <c r="AM139" s="42"/>
      <c r="AN139" s="42"/>
      <c r="AO139" s="42"/>
      <c r="AP139" s="42"/>
      <c r="AQ139" s="42"/>
    </row>
    <row r="140" spans="19:52" ht="13.8">
      <c r="X140" s="8">
        <f t="shared" si="66"/>
        <v>11</v>
      </c>
      <c r="Y140" s="8" t="s">
        <v>573</v>
      </c>
      <c r="Z140" s="8"/>
      <c r="AA140" s="188"/>
      <c r="AB140" s="188"/>
      <c r="AC140" s="188">
        <f t="shared" si="60"/>
        <v>0</v>
      </c>
      <c r="AD140" s="188">
        <f t="shared" si="61"/>
        <v>0</v>
      </c>
      <c r="AE140" s="188">
        <f t="shared" si="62"/>
        <v>0</v>
      </c>
      <c r="AF140" s="188">
        <f t="shared" si="64"/>
        <v>0</v>
      </c>
      <c r="AG140" s="188"/>
      <c r="AI140" s="76" t="s">
        <v>522</v>
      </c>
      <c r="AL140" s="42"/>
      <c r="AM140" s="42"/>
      <c r="AN140" s="42"/>
      <c r="AO140" s="42"/>
      <c r="AP140" s="42"/>
      <c r="AQ140" s="42"/>
    </row>
    <row r="141" spans="19:52">
      <c r="X141" s="8">
        <f t="shared" si="66"/>
        <v>12</v>
      </c>
      <c r="Y141" s="8" t="s">
        <v>380</v>
      </c>
      <c r="Z141" s="8"/>
      <c r="AA141" s="188"/>
      <c r="AB141" s="188"/>
      <c r="AC141" s="188">
        <f t="shared" si="60"/>
        <v>0</v>
      </c>
      <c r="AD141" s="188">
        <f t="shared" si="61"/>
        <v>0</v>
      </c>
      <c r="AE141" s="188">
        <f t="shared" si="62"/>
        <v>0</v>
      </c>
      <c r="AF141" s="188">
        <f t="shared" si="64"/>
        <v>0</v>
      </c>
      <c r="AG141" s="188"/>
      <c r="AM141" s="42"/>
      <c r="AN141" s="103"/>
      <c r="AO141" s="42"/>
      <c r="AP141" s="42"/>
    </row>
    <row r="142" spans="19:52">
      <c r="X142" s="8">
        <f t="shared" si="66"/>
        <v>13</v>
      </c>
      <c r="Y142" s="8" t="s">
        <v>336</v>
      </c>
      <c r="Z142" s="207" t="s">
        <v>366</v>
      </c>
      <c r="AA142" s="188">
        <v>42.2</v>
      </c>
      <c r="AB142" s="188">
        <v>42225</v>
      </c>
      <c r="AC142" s="188">
        <f t="shared" si="60"/>
        <v>50670</v>
      </c>
      <c r="AD142" s="188">
        <f t="shared" si="61"/>
        <v>8445</v>
      </c>
      <c r="AE142" s="188">
        <f t="shared" si="62"/>
        <v>42225</v>
      </c>
      <c r="AF142" s="188">
        <f t="shared" si="64"/>
        <v>0</v>
      </c>
      <c r="AG142" s="188"/>
    </row>
    <row r="143" spans="19:52">
      <c r="X143" s="8">
        <f t="shared" si="66"/>
        <v>14</v>
      </c>
      <c r="Y143" s="8" t="s">
        <v>399</v>
      </c>
      <c r="Z143" s="8"/>
      <c r="AA143" s="188"/>
      <c r="AB143" s="188"/>
      <c r="AC143" s="188">
        <f t="shared" si="60"/>
        <v>0</v>
      </c>
      <c r="AD143" s="188">
        <f t="shared" si="61"/>
        <v>0</v>
      </c>
      <c r="AE143" s="188">
        <f>AC143-AD143</f>
        <v>0</v>
      </c>
      <c r="AF143" s="188">
        <f t="shared" si="64"/>
        <v>0</v>
      </c>
      <c r="AG143" s="188"/>
    </row>
    <row r="144" spans="19:52">
      <c r="X144" s="8">
        <f t="shared" si="66"/>
        <v>15</v>
      </c>
      <c r="Y144" s="8" t="s">
        <v>653</v>
      </c>
      <c r="Z144" s="8"/>
      <c r="AA144" s="188"/>
      <c r="AB144" s="188">
        <v>792203</v>
      </c>
      <c r="AC144" s="188">
        <f t="shared" si="60"/>
        <v>950644</v>
      </c>
      <c r="AD144" s="188">
        <f t="shared" si="61"/>
        <v>158441</v>
      </c>
      <c r="AE144" s="188">
        <f>AC144-AD144</f>
        <v>792203</v>
      </c>
      <c r="AF144" s="188">
        <f>AE144-AB144</f>
        <v>0</v>
      </c>
      <c r="AG144" s="188"/>
    </row>
    <row r="145" spans="24:37">
      <c r="X145" s="8">
        <f t="shared" si="66"/>
        <v>16</v>
      </c>
      <c r="Y145" s="8" t="s">
        <v>171</v>
      </c>
      <c r="Z145" s="8"/>
      <c r="AA145" s="188"/>
      <c r="AB145" s="188">
        <f>635927/1.15</f>
        <v>552980</v>
      </c>
      <c r="AC145" s="188">
        <f>AE145+AD145</f>
        <v>635927</v>
      </c>
      <c r="AD145" s="188">
        <f>AE145*0.15</f>
        <v>82947</v>
      </c>
      <c r="AE145" s="188">
        <f>635927/1.15</f>
        <v>552980</v>
      </c>
      <c r="AF145" s="188">
        <f t="shared" ref="AF145:AF150" si="67">AE145-AB145</f>
        <v>0</v>
      </c>
      <c r="AG145" s="188"/>
    </row>
    <row r="146" spans="24:37">
      <c r="X146" s="8">
        <f t="shared" si="66"/>
        <v>17</v>
      </c>
      <c r="Y146" s="8" t="s">
        <v>637</v>
      </c>
      <c r="Z146" s="8"/>
      <c r="AA146" s="188"/>
      <c r="AB146" s="188"/>
      <c r="AC146" s="188">
        <f>ROUND(+AB146*120%,0)</f>
        <v>0</v>
      </c>
      <c r="AD146" s="188">
        <f>ROUND(AC146*20/120,0)</f>
        <v>0</v>
      </c>
      <c r="AE146" s="188">
        <f>AC146-AD146</f>
        <v>0</v>
      </c>
      <c r="AF146" s="188">
        <f t="shared" si="67"/>
        <v>0</v>
      </c>
      <c r="AG146" s="188"/>
    </row>
    <row r="147" spans="24:37">
      <c r="X147" s="8">
        <f t="shared" si="66"/>
        <v>18</v>
      </c>
      <c r="Y147" s="8" t="s">
        <v>646</v>
      </c>
      <c r="Z147" s="8"/>
      <c r="AA147" s="188"/>
      <c r="AB147" s="188"/>
      <c r="AC147" s="188">
        <f>ROUND(+AB147*120%,0)</f>
        <v>0</v>
      </c>
      <c r="AD147" s="188">
        <f>ROUND(AC147*20/120,0)</f>
        <v>0</v>
      </c>
      <c r="AE147" s="188">
        <f>AC147-AD147</f>
        <v>0</v>
      </c>
      <c r="AF147" s="188">
        <f t="shared" si="67"/>
        <v>0</v>
      </c>
      <c r="AG147" s="188"/>
    </row>
    <row r="148" spans="24:37">
      <c r="X148" s="8">
        <f t="shared" si="66"/>
        <v>19</v>
      </c>
      <c r="Y148" s="8" t="s">
        <v>647</v>
      </c>
      <c r="Z148" s="8"/>
      <c r="AA148" s="188"/>
      <c r="AB148" s="188"/>
      <c r="AC148" s="188">
        <f>ROUND(+AB148*120%,0)</f>
        <v>0</v>
      </c>
      <c r="AD148" s="188">
        <f>ROUND(AC148*20/120,0)</f>
        <v>0</v>
      </c>
      <c r="AE148" s="188">
        <f>AC148-AD148</f>
        <v>0</v>
      </c>
      <c r="AF148" s="188">
        <f t="shared" si="67"/>
        <v>0</v>
      </c>
      <c r="AG148" s="188"/>
    </row>
    <row r="149" spans="24:37">
      <c r="X149" s="8">
        <f t="shared" si="66"/>
        <v>20</v>
      </c>
      <c r="Y149" s="8" t="s">
        <v>634</v>
      </c>
      <c r="Z149" s="207"/>
      <c r="AA149" s="188"/>
      <c r="AB149" s="188"/>
      <c r="AC149" s="188">
        <f>ROUND(+AB149*120%,0)</f>
        <v>0</v>
      </c>
      <c r="AD149" s="188">
        <f>ROUND(AC149*20/120,0)</f>
        <v>0</v>
      </c>
      <c r="AE149" s="188">
        <f>AC149-AD149</f>
        <v>0</v>
      </c>
      <c r="AF149" s="188">
        <f t="shared" si="67"/>
        <v>0</v>
      </c>
      <c r="AG149" s="188"/>
    </row>
    <row r="150" spans="24:37">
      <c r="X150" s="8">
        <f t="shared" si="66"/>
        <v>21</v>
      </c>
      <c r="Y150" s="8" t="s">
        <v>390</v>
      </c>
      <c r="Z150" s="8"/>
      <c r="AA150" s="188"/>
      <c r="AB150" s="188"/>
      <c r="AC150" s="188">
        <f>ROUND(+AB150*120%,0)</f>
        <v>0</v>
      </c>
      <c r="AD150" s="188">
        <f>ROUND(AC150*20/120,0)</f>
        <v>0</v>
      </c>
      <c r="AE150" s="188">
        <f>AC150-AD150</f>
        <v>0</v>
      </c>
      <c r="AF150" s="188">
        <f t="shared" si="67"/>
        <v>0</v>
      </c>
      <c r="AG150" s="188"/>
    </row>
    <row r="151" spans="24:37">
      <c r="X151" s="8"/>
      <c r="Y151" s="31" t="s">
        <v>685</v>
      </c>
      <c r="Z151" s="31"/>
      <c r="AA151" s="52">
        <f t="shared" ref="AA151:AG151" si="68">AA136+AA137+AA138+AA139+AA142+AA143+AA144+AA145+AA146+AA147+AA148+AA149+AA150</f>
        <v>78.099999999999994</v>
      </c>
      <c r="AB151" s="52">
        <f t="shared" si="68"/>
        <v>4423917.3</v>
      </c>
      <c r="AC151" s="52">
        <f t="shared" si="68"/>
        <v>5281052</v>
      </c>
      <c r="AD151" s="52">
        <f t="shared" si="68"/>
        <v>857135</v>
      </c>
      <c r="AE151" s="52">
        <f t="shared" si="68"/>
        <v>4423917</v>
      </c>
      <c r="AF151" s="52">
        <f t="shared" si="68"/>
        <v>-0.29999999981373549</v>
      </c>
      <c r="AG151" s="52">
        <f t="shared" si="68"/>
        <v>0</v>
      </c>
      <c r="AI151" s="188"/>
      <c r="AJ151" s="188"/>
      <c r="AK151" s="188">
        <f>AE151-AJ151</f>
        <v>4423917</v>
      </c>
    </row>
    <row r="152" spans="24:37">
      <c r="X152" s="8"/>
      <c r="Y152" s="31" t="s">
        <v>433</v>
      </c>
      <c r="Z152" s="31"/>
      <c r="AA152" s="40" t="s">
        <v>251</v>
      </c>
      <c r="AB152" s="52" t="e">
        <f t="shared" ref="AB152:AG152" si="69">AB135+AB151</f>
        <v>#VALUE!</v>
      </c>
      <c r="AC152" s="52" t="e">
        <f t="shared" si="69"/>
        <v>#VALUE!</v>
      </c>
      <c r="AD152" s="52" t="e">
        <f t="shared" si="69"/>
        <v>#VALUE!</v>
      </c>
      <c r="AE152" s="52" t="e">
        <f t="shared" si="69"/>
        <v>#VALUE!</v>
      </c>
      <c r="AF152" s="52" t="e">
        <f t="shared" si="69"/>
        <v>#VALUE!</v>
      </c>
      <c r="AG152" s="52">
        <f t="shared" si="69"/>
        <v>0</v>
      </c>
      <c r="AI152" s="188"/>
      <c r="AJ152" s="188"/>
      <c r="AK152" s="188" t="e">
        <f>AE152-AJ152</f>
        <v>#VALUE!</v>
      </c>
    </row>
    <row r="153" spans="24:37">
      <c r="AA153" s="42"/>
      <c r="AB153" s="42"/>
      <c r="AC153" s="42"/>
      <c r="AD153" s="42"/>
      <c r="AE153" s="42"/>
      <c r="AF153" s="42"/>
      <c r="AG153" s="42"/>
    </row>
    <row r="154" spans="24:37" ht="13.8">
      <c r="Y154" s="76" t="s">
        <v>552</v>
      </c>
      <c r="AA154" s="42"/>
      <c r="AB154" s="42"/>
      <c r="AC154" s="42"/>
      <c r="AD154" s="42"/>
      <c r="AE154" s="42"/>
      <c r="AF154" s="42"/>
      <c r="AG154" s="42"/>
    </row>
    <row r="155" spans="24:37" ht="13.8">
      <c r="Y155" s="76" t="s">
        <v>522</v>
      </c>
      <c r="AB155" s="42"/>
      <c r="AC155" s="42"/>
      <c r="AD155" s="42"/>
      <c r="AE155" s="42"/>
      <c r="AF155" s="42"/>
      <c r="AG155" s="42"/>
    </row>
    <row r="163" spans="31:40">
      <c r="AH163" s="42"/>
      <c r="AI163" s="42"/>
      <c r="AJ163" s="42"/>
      <c r="AK163" s="42"/>
      <c r="AL163" s="42" t="s">
        <v>544</v>
      </c>
      <c r="AM163" s="42"/>
    </row>
    <row r="164" spans="31:40" ht="13.8">
      <c r="AE164" s="314" t="s">
        <v>240</v>
      </c>
      <c r="AF164" s="314"/>
      <c r="AG164" s="314"/>
      <c r="AH164" s="314"/>
      <c r="AI164" s="314"/>
      <c r="AJ164" s="314"/>
      <c r="AK164" s="314"/>
      <c r="AL164" s="314"/>
      <c r="AM164" s="314"/>
      <c r="AN164" s="314"/>
    </row>
    <row r="165" spans="31:40" ht="13.8">
      <c r="AE165" s="314" t="s">
        <v>172</v>
      </c>
      <c r="AF165" s="314"/>
      <c r="AG165" s="314"/>
      <c r="AH165" s="314"/>
      <c r="AI165" s="314"/>
      <c r="AJ165" s="314"/>
      <c r="AK165" s="314"/>
      <c r="AL165" s="314"/>
      <c r="AM165" s="314"/>
      <c r="AN165" s="314"/>
    </row>
    <row r="167" spans="31:40">
      <c r="AE167" s="313" t="s">
        <v>561</v>
      </c>
      <c r="AF167" s="313" t="s">
        <v>562</v>
      </c>
      <c r="AG167" s="313" t="s">
        <v>563</v>
      </c>
      <c r="AH167" s="313" t="s">
        <v>564</v>
      </c>
      <c r="AI167" s="313" t="s">
        <v>565</v>
      </c>
      <c r="AJ167" s="313" t="s">
        <v>568</v>
      </c>
      <c r="AK167" s="313" t="s">
        <v>252</v>
      </c>
      <c r="AL167" s="313" t="s">
        <v>566</v>
      </c>
      <c r="AM167" s="313" t="s">
        <v>567</v>
      </c>
      <c r="AN167" s="313"/>
    </row>
    <row r="168" spans="31:40" ht="39.6">
      <c r="AE168" s="313"/>
      <c r="AF168" s="313"/>
      <c r="AG168" s="313"/>
      <c r="AH168" s="313"/>
      <c r="AI168" s="313"/>
      <c r="AJ168" s="313"/>
      <c r="AK168" s="313"/>
      <c r="AL168" s="313"/>
      <c r="AM168" s="310" t="s">
        <v>425</v>
      </c>
      <c r="AN168" s="310" t="s">
        <v>426</v>
      </c>
    </row>
    <row r="169" spans="31:40">
      <c r="AE169" s="312">
        <v>1</v>
      </c>
      <c r="AF169" s="312">
        <v>2</v>
      </c>
      <c r="AG169" s="312">
        <v>3</v>
      </c>
      <c r="AH169" s="312">
        <v>4</v>
      </c>
      <c r="AI169" s="312">
        <v>5</v>
      </c>
      <c r="AJ169" s="312">
        <v>6</v>
      </c>
      <c r="AK169" s="312">
        <v>7</v>
      </c>
      <c r="AL169" s="312">
        <v>8</v>
      </c>
      <c r="AM169" s="312">
        <v>9</v>
      </c>
      <c r="AN169" s="312">
        <v>10</v>
      </c>
    </row>
    <row r="170" spans="31:40">
      <c r="AE170" s="8">
        <v>1</v>
      </c>
      <c r="AF170" s="8" t="s">
        <v>614</v>
      </c>
      <c r="AG170" s="207" t="s">
        <v>366</v>
      </c>
      <c r="AH170" s="188">
        <f>AP170</f>
        <v>0</v>
      </c>
      <c r="AI170" s="188">
        <f>ROUND(AL170*93%,0)</f>
        <v>0</v>
      </c>
      <c r="AJ170" s="188">
        <f>AK170+AL170</f>
        <v>0</v>
      </c>
      <c r="AK170" s="188"/>
      <c r="AL170" s="188">
        <f>AQ170</f>
        <v>0</v>
      </c>
      <c r="AM170" s="188">
        <f>AL170-AI170</f>
        <v>0</v>
      </c>
      <c r="AN170" s="188"/>
    </row>
    <row r="171" spans="31:40">
      <c r="AE171" s="8"/>
      <c r="AF171" s="8" t="s">
        <v>635</v>
      </c>
      <c r="AG171" s="207" t="s">
        <v>366</v>
      </c>
      <c r="AH171" s="188"/>
      <c r="AI171" s="188">
        <f>ROUND(AL171*98%,0)</f>
        <v>0</v>
      </c>
      <c r="AJ171" s="188">
        <f>AK171+AL171</f>
        <v>0</v>
      </c>
      <c r="AK171" s="188"/>
      <c r="AL171" s="188">
        <f>AQ171</f>
        <v>0</v>
      </c>
      <c r="AM171" s="188">
        <f>AL171-AI171</f>
        <v>0</v>
      </c>
      <c r="AN171" s="188"/>
    </row>
    <row r="172" spans="31:40">
      <c r="AE172" s="8"/>
      <c r="AF172" s="8" t="s">
        <v>365</v>
      </c>
      <c r="AG172" s="207" t="s">
        <v>366</v>
      </c>
      <c r="AH172" s="188"/>
      <c r="AI172" s="188">
        <f>ROUND(AL172*98%,0)</f>
        <v>0</v>
      </c>
      <c r="AJ172" s="188">
        <f>AK172+AL172</f>
        <v>0</v>
      </c>
      <c r="AK172" s="188"/>
      <c r="AL172" s="188">
        <f>AQ172</f>
        <v>0</v>
      </c>
      <c r="AM172" s="188">
        <f>AL172-AI172</f>
        <v>0</v>
      </c>
      <c r="AN172" s="188"/>
    </row>
    <row r="173" spans="31:40">
      <c r="AE173" s="8"/>
      <c r="AF173" s="8" t="s">
        <v>531</v>
      </c>
      <c r="AG173" s="207" t="s">
        <v>366</v>
      </c>
      <c r="AH173" s="188"/>
      <c r="AI173" s="188">
        <f>ROUND(AL173*98%,0)</f>
        <v>0</v>
      </c>
      <c r="AJ173" s="188">
        <f>AK173+AL173</f>
        <v>0</v>
      </c>
      <c r="AK173" s="188"/>
      <c r="AL173" s="188">
        <f>AQ173</f>
        <v>0</v>
      </c>
      <c r="AM173" s="188">
        <f>AL173-AI173</f>
        <v>0</v>
      </c>
      <c r="AN173" s="188"/>
    </row>
    <row r="174" spans="31:40">
      <c r="AE174" s="8"/>
      <c r="AF174" s="8" t="s">
        <v>223</v>
      </c>
      <c r="AG174" s="207" t="s">
        <v>366</v>
      </c>
      <c r="AH174" s="188"/>
      <c r="AI174" s="188">
        <f>ROUND(AL174*98%,0)</f>
        <v>0</v>
      </c>
      <c r="AJ174" s="188">
        <f>AK174+AL174</f>
        <v>0</v>
      </c>
      <c r="AK174" s="188"/>
      <c r="AL174" s="188">
        <f>AQ174</f>
        <v>0</v>
      </c>
      <c r="AM174" s="188">
        <f>AL174-AI174</f>
        <v>0</v>
      </c>
      <c r="AN174" s="188"/>
    </row>
    <row r="175" spans="31:40">
      <c r="AE175" s="31"/>
      <c r="AF175" s="31" t="s">
        <v>203</v>
      </c>
      <c r="AG175" s="92"/>
      <c r="AH175" s="52">
        <f>SUM(AH170:AH174)</f>
        <v>0</v>
      </c>
      <c r="AI175" s="52">
        <f t="shared" ref="AI175:AN175" si="70">SUM(AI170:AI174)</f>
        <v>0</v>
      </c>
      <c r="AJ175" s="52">
        <f t="shared" si="70"/>
        <v>0</v>
      </c>
      <c r="AK175" s="52">
        <f t="shared" si="70"/>
        <v>0</v>
      </c>
      <c r="AL175" s="52">
        <f t="shared" si="70"/>
        <v>0</v>
      </c>
      <c r="AM175" s="52">
        <f t="shared" si="70"/>
        <v>0</v>
      </c>
      <c r="AN175" s="52">
        <f t="shared" si="70"/>
        <v>0</v>
      </c>
    </row>
    <row r="176" spans="31:40">
      <c r="AE176" s="8">
        <v>1</v>
      </c>
      <c r="AF176" s="8" t="s">
        <v>671</v>
      </c>
      <c r="AG176" s="207" t="s">
        <v>366</v>
      </c>
      <c r="AH176" s="188">
        <f>AP176+AS176</f>
        <v>0</v>
      </c>
      <c r="AI176" s="188">
        <f>ROUND(AL176*93%,0)</f>
        <v>0</v>
      </c>
      <c r="AJ176" s="188">
        <f>AK176+AL176</f>
        <v>3842690</v>
      </c>
      <c r="AK176" s="188">
        <f>3842690+AU176</f>
        <v>3842690</v>
      </c>
      <c r="AL176" s="188">
        <f>AQ176+AT176</f>
        <v>0</v>
      </c>
      <c r="AM176" s="188">
        <f>AL176-AI176</f>
        <v>0</v>
      </c>
      <c r="AN176" s="188"/>
    </row>
    <row r="177" spans="31:40">
      <c r="AE177" s="8"/>
      <c r="AF177" s="8" t="s">
        <v>635</v>
      </c>
      <c r="AG177" s="207" t="s">
        <v>366</v>
      </c>
      <c r="AH177" s="188">
        <f>AP177+AS177</f>
        <v>0</v>
      </c>
      <c r="AI177" s="188">
        <f>ROUND(AL177*94%,0)</f>
        <v>0</v>
      </c>
      <c r="AJ177" s="188">
        <f>AK177+AL177</f>
        <v>1748016</v>
      </c>
      <c r="AK177" s="188">
        <f>1748016+AU177</f>
        <v>1748016</v>
      </c>
      <c r="AL177" s="188">
        <f>AQ177+AT177</f>
        <v>0</v>
      </c>
      <c r="AM177" s="188">
        <f>AL177-AI177</f>
        <v>0</v>
      </c>
      <c r="AN177" s="188"/>
    </row>
    <row r="178" spans="31:40">
      <c r="AE178" s="8"/>
      <c r="AF178" s="8" t="s">
        <v>365</v>
      </c>
      <c r="AG178" s="207" t="s">
        <v>366</v>
      </c>
      <c r="AH178" s="188">
        <f>AP178+AS178</f>
        <v>0</v>
      </c>
      <c r="AI178" s="188">
        <f>ROUND(AL178*96%,0)</f>
        <v>0</v>
      </c>
      <c r="AJ178" s="188">
        <f>AK178+AL178</f>
        <v>244910</v>
      </c>
      <c r="AK178" s="188">
        <f>244910+AU178</f>
        <v>244910</v>
      </c>
      <c r="AL178" s="188">
        <f>AQ178+AT178</f>
        <v>0</v>
      </c>
      <c r="AM178" s="188">
        <f>AL178-AI178</f>
        <v>0</v>
      </c>
      <c r="AN178" s="188"/>
    </row>
    <row r="179" spans="31:40">
      <c r="AE179" s="8"/>
      <c r="AF179" s="8" t="s">
        <v>531</v>
      </c>
      <c r="AG179" s="207" t="s">
        <v>366</v>
      </c>
      <c r="AH179" s="188">
        <f>AP179+AS179</f>
        <v>0</v>
      </c>
      <c r="AI179" s="188">
        <f>ROUND(AL179*98%,0)</f>
        <v>0</v>
      </c>
      <c r="AJ179" s="188">
        <f>AK179+AL179</f>
        <v>0</v>
      </c>
      <c r="AK179" s="188">
        <v>0</v>
      </c>
      <c r="AL179" s="188">
        <f>AQ179+AT179</f>
        <v>0</v>
      </c>
      <c r="AM179" s="188">
        <f>AL179-AI179</f>
        <v>0</v>
      </c>
      <c r="AN179" s="188"/>
    </row>
    <row r="180" spans="31:40">
      <c r="AE180" s="8"/>
      <c r="AF180" s="8" t="s">
        <v>223</v>
      </c>
      <c r="AG180" s="207" t="s">
        <v>366</v>
      </c>
      <c r="AH180" s="188">
        <f>AP180+AS180</f>
        <v>0</v>
      </c>
      <c r="AI180" s="188">
        <f>ROUND(AL180*98%,0)</f>
        <v>0</v>
      </c>
      <c r="AJ180" s="188">
        <f>AK180+AL180</f>
        <v>502706</v>
      </c>
      <c r="AK180" s="188">
        <f>502706+AU180</f>
        <v>502706</v>
      </c>
      <c r="AL180" s="188">
        <f>AQ180+AT180</f>
        <v>0</v>
      </c>
      <c r="AM180" s="188">
        <f>AL180-AI180</f>
        <v>0</v>
      </c>
      <c r="AN180" s="188"/>
    </row>
    <row r="181" spans="31:40">
      <c r="AE181" s="31"/>
      <c r="AF181" s="31" t="s">
        <v>203</v>
      </c>
      <c r="AG181" s="92"/>
      <c r="AH181" s="52">
        <f t="shared" ref="AH181:AN181" si="71">SUM(AH176:AH180)</f>
        <v>0</v>
      </c>
      <c r="AI181" s="52">
        <f t="shared" si="71"/>
        <v>0</v>
      </c>
      <c r="AJ181" s="52">
        <f t="shared" si="71"/>
        <v>6338322</v>
      </c>
      <c r="AK181" s="52">
        <f t="shared" si="71"/>
        <v>6338322</v>
      </c>
      <c r="AL181" s="52">
        <f t="shared" si="71"/>
        <v>0</v>
      </c>
      <c r="AM181" s="52">
        <f t="shared" si="71"/>
        <v>0</v>
      </c>
      <c r="AN181" s="52">
        <f t="shared" si="71"/>
        <v>0</v>
      </c>
    </row>
    <row r="182" spans="31:40">
      <c r="AE182" s="8">
        <v>1</v>
      </c>
      <c r="AF182" s="8" t="s">
        <v>434</v>
      </c>
      <c r="AG182" s="207" t="s">
        <v>366</v>
      </c>
      <c r="AH182" s="188">
        <f t="shared" ref="AH182:AN182" si="72">+AH170+AH176</f>
        <v>0</v>
      </c>
      <c r="AI182" s="188">
        <f t="shared" si="72"/>
        <v>0</v>
      </c>
      <c r="AJ182" s="188">
        <f t="shared" si="72"/>
        <v>3842690</v>
      </c>
      <c r="AK182" s="188">
        <f t="shared" si="72"/>
        <v>3842690</v>
      </c>
      <c r="AL182" s="188">
        <f t="shared" si="72"/>
        <v>0</v>
      </c>
      <c r="AM182" s="188">
        <f t="shared" si="72"/>
        <v>0</v>
      </c>
      <c r="AN182" s="188">
        <f t="shared" si="72"/>
        <v>0</v>
      </c>
    </row>
    <row r="183" spans="31:40">
      <c r="AE183" s="8"/>
      <c r="AF183" s="8" t="s">
        <v>635</v>
      </c>
      <c r="AG183" s="207" t="s">
        <v>366</v>
      </c>
      <c r="AH183" s="188">
        <f t="shared" ref="AH183:AN183" si="73">+AH171+AH177</f>
        <v>0</v>
      </c>
      <c r="AI183" s="188">
        <f t="shared" si="73"/>
        <v>0</v>
      </c>
      <c r="AJ183" s="188">
        <f t="shared" si="73"/>
        <v>1748016</v>
      </c>
      <c r="AK183" s="188">
        <f t="shared" si="73"/>
        <v>1748016</v>
      </c>
      <c r="AL183" s="188">
        <f t="shared" si="73"/>
        <v>0</v>
      </c>
      <c r="AM183" s="188">
        <f t="shared" si="73"/>
        <v>0</v>
      </c>
      <c r="AN183" s="188">
        <f t="shared" si="73"/>
        <v>0</v>
      </c>
    </row>
    <row r="184" spans="31:40">
      <c r="AE184" s="8"/>
      <c r="AF184" s="8" t="s">
        <v>365</v>
      </c>
      <c r="AG184" s="207" t="s">
        <v>366</v>
      </c>
      <c r="AH184" s="188">
        <f t="shared" ref="AH184:AN184" si="74">+AH172+AH178</f>
        <v>0</v>
      </c>
      <c r="AI184" s="188">
        <f t="shared" si="74"/>
        <v>0</v>
      </c>
      <c r="AJ184" s="188">
        <f t="shared" si="74"/>
        <v>244910</v>
      </c>
      <c r="AK184" s="188">
        <f t="shared" si="74"/>
        <v>244910</v>
      </c>
      <c r="AL184" s="188">
        <f t="shared" si="74"/>
        <v>0</v>
      </c>
      <c r="AM184" s="188">
        <f t="shared" si="74"/>
        <v>0</v>
      </c>
      <c r="AN184" s="188">
        <f t="shared" si="74"/>
        <v>0</v>
      </c>
    </row>
    <row r="185" spans="31:40">
      <c r="AE185" s="8"/>
      <c r="AF185" s="8" t="s">
        <v>531</v>
      </c>
      <c r="AG185" s="207" t="s">
        <v>366</v>
      </c>
      <c r="AH185" s="188">
        <f t="shared" ref="AH185:AN185" si="75">+AH173+AH179</f>
        <v>0</v>
      </c>
      <c r="AI185" s="188">
        <f t="shared" si="75"/>
        <v>0</v>
      </c>
      <c r="AJ185" s="188">
        <f t="shared" si="75"/>
        <v>0</v>
      </c>
      <c r="AK185" s="188">
        <f t="shared" si="75"/>
        <v>0</v>
      </c>
      <c r="AL185" s="188">
        <f t="shared" si="75"/>
        <v>0</v>
      </c>
      <c r="AM185" s="188">
        <f t="shared" si="75"/>
        <v>0</v>
      </c>
      <c r="AN185" s="188">
        <f t="shared" si="75"/>
        <v>0</v>
      </c>
    </row>
    <row r="186" spans="31:40">
      <c r="AE186" s="8"/>
      <c r="AF186" s="8" t="s">
        <v>223</v>
      </c>
      <c r="AG186" s="207" t="s">
        <v>366</v>
      </c>
      <c r="AH186" s="188">
        <f t="shared" ref="AH186:AN186" si="76">+AH174+AH180</f>
        <v>0</v>
      </c>
      <c r="AI186" s="188">
        <f t="shared" si="76"/>
        <v>0</v>
      </c>
      <c r="AJ186" s="188">
        <f t="shared" si="76"/>
        <v>502706</v>
      </c>
      <c r="AK186" s="188">
        <f t="shared" si="76"/>
        <v>502706</v>
      </c>
      <c r="AL186" s="188">
        <f t="shared" si="76"/>
        <v>0</v>
      </c>
      <c r="AM186" s="188">
        <f t="shared" si="76"/>
        <v>0</v>
      </c>
      <c r="AN186" s="188">
        <f t="shared" si="76"/>
        <v>0</v>
      </c>
    </row>
    <row r="187" spans="31:40">
      <c r="AE187" s="31"/>
      <c r="AF187" s="31" t="s">
        <v>203</v>
      </c>
      <c r="AG187" s="92"/>
      <c r="AH187" s="52">
        <f t="shared" ref="AH187:AN187" si="77">SUM(AH182:AH186)</f>
        <v>0</v>
      </c>
      <c r="AI187" s="52">
        <f t="shared" si="77"/>
        <v>0</v>
      </c>
      <c r="AJ187" s="52">
        <f t="shared" si="77"/>
        <v>6338322</v>
      </c>
      <c r="AK187" s="52">
        <f t="shared" si="77"/>
        <v>6338322</v>
      </c>
      <c r="AL187" s="52">
        <f t="shared" si="77"/>
        <v>0</v>
      </c>
      <c r="AM187" s="52">
        <f t="shared" si="77"/>
        <v>0</v>
      </c>
      <c r="AN187" s="52">
        <f t="shared" si="77"/>
        <v>0</v>
      </c>
    </row>
    <row r="188" spans="31:40">
      <c r="AE188" s="8">
        <v>2</v>
      </c>
      <c r="AF188" s="8" t="s">
        <v>204</v>
      </c>
      <c r="AG188" s="207" t="s">
        <v>366</v>
      </c>
      <c r="AH188" s="188">
        <f>AP188+AP189</f>
        <v>0</v>
      </c>
      <c r="AI188" s="188">
        <f>AV188+AV189</f>
        <v>0</v>
      </c>
      <c r="AJ188" s="188">
        <f t="shared" ref="AJ188:AJ193" si="78">AK188+AL188</f>
        <v>0</v>
      </c>
      <c r="AK188" s="188">
        <f t="shared" ref="AK188:AK193" si="79">ROUND(AL188*0.2,0)</f>
        <v>0</v>
      </c>
      <c r="AL188" s="188">
        <f>AQ188+AQ189</f>
        <v>0</v>
      </c>
      <c r="AM188" s="188">
        <f t="shared" ref="AM188:AM193" si="80">AL188-AI188</f>
        <v>0</v>
      </c>
      <c r="AN188" s="188"/>
    </row>
    <row r="189" spans="31:40">
      <c r="AE189" s="8"/>
      <c r="AF189" s="8" t="s">
        <v>410</v>
      </c>
      <c r="AG189" s="207" t="s">
        <v>366</v>
      </c>
      <c r="AH189" s="188">
        <f>AP190+AP191</f>
        <v>0</v>
      </c>
      <c r="AI189" s="188">
        <f>AV190+AV191</f>
        <v>0</v>
      </c>
      <c r="AJ189" s="188">
        <f t="shared" si="78"/>
        <v>0</v>
      </c>
      <c r="AK189" s="188">
        <f t="shared" si="79"/>
        <v>0</v>
      </c>
      <c r="AL189" s="188">
        <f>AQ190+AQ191</f>
        <v>0</v>
      </c>
      <c r="AM189" s="188">
        <f t="shared" si="80"/>
        <v>0</v>
      </c>
      <c r="AN189" s="188"/>
    </row>
    <row r="190" spans="31:40">
      <c r="AE190" s="8"/>
      <c r="AF190" s="8" t="s">
        <v>258</v>
      </c>
      <c r="AG190" s="207" t="s">
        <v>366</v>
      </c>
      <c r="AH190" s="188">
        <f>AP192</f>
        <v>0</v>
      </c>
      <c r="AI190" s="188">
        <f>AV192</f>
        <v>0</v>
      </c>
      <c r="AJ190" s="188">
        <f t="shared" si="78"/>
        <v>0</v>
      </c>
      <c r="AK190" s="188">
        <f t="shared" si="79"/>
        <v>0</v>
      </c>
      <c r="AL190" s="188">
        <f>AQ192</f>
        <v>0</v>
      </c>
      <c r="AM190" s="188">
        <f t="shared" si="80"/>
        <v>0</v>
      </c>
      <c r="AN190" s="188"/>
    </row>
    <row r="191" spans="31:40">
      <c r="AE191" s="8"/>
      <c r="AF191" s="8" t="s">
        <v>431</v>
      </c>
      <c r="AG191" s="207" t="s">
        <v>366</v>
      </c>
      <c r="AH191" s="188">
        <f>AP193</f>
        <v>0</v>
      </c>
      <c r="AI191" s="188">
        <v>0</v>
      </c>
      <c r="AJ191" s="188">
        <f t="shared" si="78"/>
        <v>0</v>
      </c>
      <c r="AK191" s="188">
        <f t="shared" si="79"/>
        <v>0</v>
      </c>
      <c r="AL191" s="188">
        <f>AQ193</f>
        <v>0</v>
      </c>
      <c r="AM191" s="188">
        <f t="shared" si="80"/>
        <v>0</v>
      </c>
      <c r="AN191" s="188"/>
    </row>
    <row r="192" spans="31:40">
      <c r="AE192" s="8"/>
      <c r="AF192" s="8" t="s">
        <v>407</v>
      </c>
      <c r="AG192" s="207" t="s">
        <v>366</v>
      </c>
      <c r="AH192" s="188">
        <v>0</v>
      </c>
      <c r="AI192" s="188">
        <v>0</v>
      </c>
      <c r="AJ192" s="188">
        <f t="shared" si="78"/>
        <v>0</v>
      </c>
      <c r="AK192" s="188">
        <f t="shared" si="79"/>
        <v>0</v>
      </c>
      <c r="AL192" s="188">
        <v>0</v>
      </c>
      <c r="AM192" s="188">
        <f t="shared" si="80"/>
        <v>0</v>
      </c>
      <c r="AN192" s="188"/>
    </row>
    <row r="193" spans="31:40">
      <c r="AE193" s="8"/>
      <c r="AF193" s="8" t="s">
        <v>674</v>
      </c>
      <c r="AG193" s="207" t="s">
        <v>366</v>
      </c>
      <c r="AH193" s="188">
        <v>0</v>
      </c>
      <c r="AI193" s="188">
        <v>0</v>
      </c>
      <c r="AJ193" s="188">
        <f t="shared" si="78"/>
        <v>0</v>
      </c>
      <c r="AK193" s="188">
        <f t="shared" si="79"/>
        <v>0</v>
      </c>
      <c r="AL193" s="188">
        <f>AQ193</f>
        <v>0</v>
      </c>
      <c r="AM193" s="188">
        <f t="shared" si="80"/>
        <v>0</v>
      </c>
      <c r="AN193" s="188"/>
    </row>
    <row r="194" spans="31:40">
      <c r="AE194" s="31"/>
      <c r="AF194" s="31" t="s">
        <v>654</v>
      </c>
      <c r="AG194" s="31"/>
      <c r="AH194" s="52">
        <f>SUM(AH188:AH193)</f>
        <v>0</v>
      </c>
      <c r="AI194" s="52">
        <f t="shared" ref="AI194:AN194" si="81">SUM(AI188:AI193)</f>
        <v>0</v>
      </c>
      <c r="AJ194" s="52">
        <f t="shared" si="81"/>
        <v>0</v>
      </c>
      <c r="AK194" s="52">
        <f t="shared" si="81"/>
        <v>0</v>
      </c>
      <c r="AL194" s="52">
        <f t="shared" si="81"/>
        <v>0</v>
      </c>
      <c r="AM194" s="52">
        <f t="shared" si="81"/>
        <v>0</v>
      </c>
      <c r="AN194" s="52">
        <f t="shared" si="81"/>
        <v>0</v>
      </c>
    </row>
    <row r="195" spans="31:40">
      <c r="AE195" s="8">
        <v>3</v>
      </c>
      <c r="AF195" s="8" t="s">
        <v>655</v>
      </c>
      <c r="AG195" s="207" t="s">
        <v>366</v>
      </c>
      <c r="AH195" s="188" t="e">
        <f>[4]Хлоппродук!I183+[4]Хлоппродук!I184</f>
        <v>#REF!</v>
      </c>
      <c r="AI195" s="188">
        <v>7195138.1419999991</v>
      </c>
      <c r="AJ195" s="188">
        <f>AI195</f>
        <v>7195138.1419999991</v>
      </c>
      <c r="AK195" s="188">
        <v>0</v>
      </c>
      <c r="AL195" s="188">
        <f>AJ195</f>
        <v>7195138.1419999991</v>
      </c>
      <c r="AM195" s="188">
        <f>AL195-AI195</f>
        <v>0</v>
      </c>
      <c r="AN195" s="188"/>
    </row>
    <row r="196" spans="31:40">
      <c r="AE196" s="31"/>
      <c r="AF196" s="31" t="s">
        <v>371</v>
      </c>
      <c r="AG196" s="31"/>
      <c r="AH196" s="52" t="e">
        <f t="shared" ref="AH196:AN196" si="82">SUM(AH195:AH195)</f>
        <v>#REF!</v>
      </c>
      <c r="AI196" s="52">
        <f t="shared" si="82"/>
        <v>7195138.1419999991</v>
      </c>
      <c r="AJ196" s="52">
        <f t="shared" si="82"/>
        <v>7195138.1419999991</v>
      </c>
      <c r="AK196" s="52">
        <f t="shared" si="82"/>
        <v>0</v>
      </c>
      <c r="AL196" s="52">
        <f t="shared" si="82"/>
        <v>7195138.1419999991</v>
      </c>
      <c r="AM196" s="52">
        <f t="shared" si="82"/>
        <v>0</v>
      </c>
      <c r="AN196" s="52">
        <f t="shared" si="82"/>
        <v>0</v>
      </c>
    </row>
    <row r="197" spans="31:40">
      <c r="AE197" s="8">
        <v>4</v>
      </c>
      <c r="AF197" s="8" t="s">
        <v>435</v>
      </c>
      <c r="AG197" s="207" t="s">
        <v>366</v>
      </c>
      <c r="AH197" s="188"/>
      <c r="AI197" s="188"/>
      <c r="AJ197" s="188"/>
      <c r="AK197" s="188"/>
      <c r="AL197" s="188"/>
      <c r="AM197" s="188">
        <f>AL197-AI197</f>
        <v>0</v>
      </c>
      <c r="AN197" s="188"/>
    </row>
    <row r="198" spans="31:40">
      <c r="AE198" s="8"/>
      <c r="AF198" s="8" t="s">
        <v>560</v>
      </c>
      <c r="AG198" s="207" t="s">
        <v>366</v>
      </c>
      <c r="AH198" s="188">
        <v>339</v>
      </c>
      <c r="AI198" s="188">
        <f>AV198+AV199+AV200</f>
        <v>0</v>
      </c>
      <c r="AJ198" s="188">
        <f>AK198+AL198</f>
        <v>0</v>
      </c>
      <c r="AK198" s="188">
        <f>ROUND(AL198*0.2,0)</f>
        <v>0</v>
      </c>
      <c r="AL198" s="188">
        <f>AQ198</f>
        <v>0</v>
      </c>
      <c r="AM198" s="188">
        <f>AL198-AI198</f>
        <v>0</v>
      </c>
      <c r="AN198" s="188"/>
    </row>
    <row r="199" spans="31:40">
      <c r="AE199" s="8"/>
      <c r="AF199" s="8" t="s">
        <v>559</v>
      </c>
      <c r="AG199" s="207"/>
      <c r="AH199" s="188"/>
      <c r="AI199" s="188"/>
      <c r="AJ199" s="188"/>
      <c r="AK199" s="188">
        <f>ROUND(AJ199*20/120,0)</f>
        <v>0</v>
      </c>
      <c r="AL199" s="188">
        <f>AJ199-AK199</f>
        <v>0</v>
      </c>
      <c r="AM199" s="188">
        <f>AL199-AI199</f>
        <v>0</v>
      </c>
      <c r="AN199" s="188"/>
    </row>
    <row r="200" spans="31:40">
      <c r="AE200" s="31"/>
      <c r="AF200" s="31" t="s">
        <v>436</v>
      </c>
      <c r="AG200" s="52"/>
      <c r="AH200" s="52">
        <f>SUM(AH197:AH199)</f>
        <v>339</v>
      </c>
      <c r="AI200" s="52">
        <f t="shared" ref="AI200:AN200" si="83">SUM(AI197:AI199)</f>
        <v>0</v>
      </c>
      <c r="AJ200" s="52">
        <f t="shared" si="83"/>
        <v>0</v>
      </c>
      <c r="AK200" s="52">
        <f t="shared" si="83"/>
        <v>0</v>
      </c>
      <c r="AL200" s="52">
        <f t="shared" si="83"/>
        <v>0</v>
      </c>
      <c r="AM200" s="52">
        <f t="shared" si="83"/>
        <v>0</v>
      </c>
      <c r="AN200" s="52">
        <f t="shared" si="83"/>
        <v>0</v>
      </c>
    </row>
    <row r="201" spans="31:40">
      <c r="AE201" s="8">
        <v>5</v>
      </c>
      <c r="AF201" s="8" t="s">
        <v>656</v>
      </c>
      <c r="AG201" s="207" t="s">
        <v>366</v>
      </c>
      <c r="AH201" s="188">
        <v>41.503999999999998</v>
      </c>
      <c r="AI201" s="188">
        <v>28925</v>
      </c>
      <c r="AJ201" s="188">
        <f>ROUND(+AI201*120%,0)</f>
        <v>34710</v>
      </c>
      <c r="AK201" s="188">
        <f>ROUND(AJ201*20/120,0)</f>
        <v>5785</v>
      </c>
      <c r="AL201" s="188">
        <f>AJ201-AK201</f>
        <v>28925</v>
      </c>
      <c r="AM201" s="188">
        <f>AL201-AI201</f>
        <v>0</v>
      </c>
      <c r="AN201" s="188"/>
    </row>
    <row r="202" spans="31:40">
      <c r="AE202" s="8">
        <v>6</v>
      </c>
      <c r="AF202" s="8" t="s">
        <v>657</v>
      </c>
      <c r="AG202" s="207" t="s">
        <v>366</v>
      </c>
      <c r="AH202" s="188">
        <v>359</v>
      </c>
      <c r="AI202" s="188">
        <v>151828</v>
      </c>
      <c r="AJ202" s="188">
        <f>ROUND(+AI202*120%,0)</f>
        <v>182194</v>
      </c>
      <c r="AK202" s="188">
        <f>ROUND(AJ202*20/120,0)</f>
        <v>30366</v>
      </c>
      <c r="AL202" s="188">
        <f>AJ202-AK202</f>
        <v>151828</v>
      </c>
      <c r="AM202" s="188">
        <f>AL202-AI202</f>
        <v>0</v>
      </c>
      <c r="AN202" s="188"/>
    </row>
    <row r="203" spans="31:40">
      <c r="AE203" s="31"/>
      <c r="AF203" s="31" t="s">
        <v>570</v>
      </c>
      <c r="AG203" s="31"/>
      <c r="AH203" s="40" t="s">
        <v>251</v>
      </c>
      <c r="AI203" s="52">
        <f t="shared" ref="AI203:AN203" si="84">+AI187+AI194+AI196+AI200+AI201+AI202</f>
        <v>7375891.1419999991</v>
      </c>
      <c r="AJ203" s="52">
        <f t="shared" si="84"/>
        <v>13750364.141999999</v>
      </c>
      <c r="AK203" s="52">
        <f t="shared" si="84"/>
        <v>6374473</v>
      </c>
      <c r="AL203" s="52">
        <f t="shared" si="84"/>
        <v>7375891.1419999991</v>
      </c>
      <c r="AM203" s="52">
        <f t="shared" si="84"/>
        <v>0</v>
      </c>
      <c r="AN203" s="52">
        <f t="shared" si="84"/>
        <v>0</v>
      </c>
    </row>
    <row r="204" spans="31:40">
      <c r="AE204" s="8">
        <v>7</v>
      </c>
      <c r="AF204" s="8" t="s">
        <v>658</v>
      </c>
      <c r="AG204" s="8"/>
      <c r="AH204" s="188"/>
      <c r="AI204" s="188"/>
      <c r="AJ204" s="188">
        <f t="shared" ref="AJ204:AJ212" si="85">ROUND(+AI204*120%,0)</f>
        <v>0</v>
      </c>
      <c r="AK204" s="188">
        <f t="shared" ref="AK204:AK212" si="86">ROUND(AJ204*20/120,0)</f>
        <v>0</v>
      </c>
      <c r="AL204" s="188">
        <f t="shared" ref="AL204:AL210" si="87">AJ204-AK204</f>
        <v>0</v>
      </c>
      <c r="AM204" s="188"/>
      <c r="AN204" s="188"/>
    </row>
    <row r="205" spans="31:40">
      <c r="AE205" s="8">
        <f>AE204+1</f>
        <v>8</v>
      </c>
      <c r="AF205" s="8" t="s">
        <v>665</v>
      </c>
      <c r="AG205" s="207" t="s">
        <v>366</v>
      </c>
      <c r="AH205" s="188">
        <v>35.9</v>
      </c>
      <c r="AI205" s="188">
        <v>10585</v>
      </c>
      <c r="AJ205" s="188">
        <f t="shared" si="85"/>
        <v>12702</v>
      </c>
      <c r="AK205" s="188">
        <f t="shared" si="86"/>
        <v>2117</v>
      </c>
      <c r="AL205" s="188">
        <f t="shared" si="87"/>
        <v>10585</v>
      </c>
      <c r="AM205" s="188">
        <f t="shared" ref="AM205:AM211" si="88">AL205-AI205</f>
        <v>0</v>
      </c>
      <c r="AN205" s="188"/>
    </row>
    <row r="206" spans="31:40">
      <c r="AE206" s="8">
        <f t="shared" ref="AE206:AE218" si="89">AE205+1</f>
        <v>9</v>
      </c>
      <c r="AF206" s="8" t="s">
        <v>672</v>
      </c>
      <c r="AG206" s="8"/>
      <c r="AH206" s="188"/>
      <c r="AI206" s="188"/>
      <c r="AJ206" s="188">
        <f t="shared" si="85"/>
        <v>0</v>
      </c>
      <c r="AK206" s="188">
        <f t="shared" si="86"/>
        <v>0</v>
      </c>
      <c r="AL206" s="188">
        <f t="shared" si="87"/>
        <v>0</v>
      </c>
      <c r="AM206" s="188">
        <f t="shared" si="88"/>
        <v>0</v>
      </c>
      <c r="AN206" s="188"/>
    </row>
    <row r="207" spans="31:40">
      <c r="AE207" s="8">
        <f t="shared" si="89"/>
        <v>10</v>
      </c>
      <c r="AF207" s="8" t="s">
        <v>305</v>
      </c>
      <c r="AG207" s="207"/>
      <c r="AH207" s="188"/>
      <c r="AI207" s="188">
        <v>3025924.3</v>
      </c>
      <c r="AJ207" s="188">
        <f t="shared" si="85"/>
        <v>3631109</v>
      </c>
      <c r="AK207" s="188">
        <f t="shared" si="86"/>
        <v>605185</v>
      </c>
      <c r="AL207" s="188">
        <f t="shared" si="87"/>
        <v>3025924</v>
      </c>
      <c r="AM207" s="188">
        <f t="shared" si="88"/>
        <v>-0.29999999981373549</v>
      </c>
      <c r="AN207" s="188"/>
    </row>
    <row r="208" spans="31:40">
      <c r="AE208" s="8">
        <f t="shared" si="89"/>
        <v>11</v>
      </c>
      <c r="AF208" s="8" t="s">
        <v>573</v>
      </c>
      <c r="AG208" s="8"/>
      <c r="AH208" s="188"/>
      <c r="AI208" s="188"/>
      <c r="AJ208" s="188">
        <f t="shared" si="85"/>
        <v>0</v>
      </c>
      <c r="AK208" s="188">
        <f t="shared" si="86"/>
        <v>0</v>
      </c>
      <c r="AL208" s="188">
        <f t="shared" si="87"/>
        <v>0</v>
      </c>
      <c r="AM208" s="188">
        <f t="shared" si="88"/>
        <v>0</v>
      </c>
      <c r="AN208" s="188"/>
    </row>
    <row r="209" spans="31:40">
      <c r="AE209" s="8">
        <f t="shared" si="89"/>
        <v>12</v>
      </c>
      <c r="AF209" s="8" t="s">
        <v>380</v>
      </c>
      <c r="AG209" s="8"/>
      <c r="AH209" s="188"/>
      <c r="AI209" s="188"/>
      <c r="AJ209" s="188">
        <f t="shared" si="85"/>
        <v>0</v>
      </c>
      <c r="AK209" s="188">
        <f t="shared" si="86"/>
        <v>0</v>
      </c>
      <c r="AL209" s="188">
        <f t="shared" si="87"/>
        <v>0</v>
      </c>
      <c r="AM209" s="188">
        <f t="shared" si="88"/>
        <v>0</v>
      </c>
      <c r="AN209" s="188"/>
    </row>
    <row r="210" spans="31:40">
      <c r="AE210" s="8">
        <f t="shared" si="89"/>
        <v>13</v>
      </c>
      <c r="AF210" s="8" t="s">
        <v>336</v>
      </c>
      <c r="AG210" s="207" t="s">
        <v>366</v>
      </c>
      <c r="AH210" s="188">
        <v>42.2</v>
      </c>
      <c r="AI210" s="188">
        <v>42225</v>
      </c>
      <c r="AJ210" s="188">
        <f t="shared" si="85"/>
        <v>50670</v>
      </c>
      <c r="AK210" s="188">
        <f t="shared" si="86"/>
        <v>8445</v>
      </c>
      <c r="AL210" s="188">
        <f t="shared" si="87"/>
        <v>42225</v>
      </c>
      <c r="AM210" s="188">
        <f t="shared" si="88"/>
        <v>0</v>
      </c>
      <c r="AN210" s="188"/>
    </row>
    <row r="211" spans="31:40">
      <c r="AE211" s="8">
        <f t="shared" si="89"/>
        <v>14</v>
      </c>
      <c r="AF211" s="8" t="s">
        <v>399</v>
      </c>
      <c r="AG211" s="8"/>
      <c r="AH211" s="188"/>
      <c r="AI211" s="188"/>
      <c r="AJ211" s="188">
        <f t="shared" si="85"/>
        <v>0</v>
      </c>
      <c r="AK211" s="188">
        <f t="shared" si="86"/>
        <v>0</v>
      </c>
      <c r="AL211" s="188">
        <f>AJ211-AK211</f>
        <v>0</v>
      </c>
      <c r="AM211" s="188">
        <f t="shared" si="88"/>
        <v>0</v>
      </c>
      <c r="AN211" s="188"/>
    </row>
    <row r="212" spans="31:40">
      <c r="AE212" s="8">
        <f t="shared" si="89"/>
        <v>15</v>
      </c>
      <c r="AF212" s="8" t="s">
        <v>653</v>
      </c>
      <c r="AG212" s="8"/>
      <c r="AH212" s="188"/>
      <c r="AI212" s="188">
        <v>792203</v>
      </c>
      <c r="AJ212" s="188">
        <f t="shared" si="85"/>
        <v>950644</v>
      </c>
      <c r="AK212" s="188">
        <f t="shared" si="86"/>
        <v>158441</v>
      </c>
      <c r="AL212" s="188">
        <f>AJ212-AK212</f>
        <v>792203</v>
      </c>
      <c r="AM212" s="188">
        <f>AL212-AI212</f>
        <v>0</v>
      </c>
      <c r="AN212" s="188"/>
    </row>
    <row r="213" spans="31:40">
      <c r="AE213" s="8">
        <f t="shared" si="89"/>
        <v>16</v>
      </c>
      <c r="AF213" s="8" t="s">
        <v>171</v>
      </c>
      <c r="AG213" s="8"/>
      <c r="AH213" s="188"/>
      <c r="AI213" s="188">
        <f>635927/1.15</f>
        <v>552980</v>
      </c>
      <c r="AJ213" s="188">
        <f>AL213+AK213</f>
        <v>635927</v>
      </c>
      <c r="AK213" s="188">
        <f>AL213*0.15</f>
        <v>82947</v>
      </c>
      <c r="AL213" s="188">
        <f>635927/1.15</f>
        <v>552980</v>
      </c>
      <c r="AM213" s="188">
        <f t="shared" ref="AM213:AM218" si="90">AL213-AI213</f>
        <v>0</v>
      </c>
      <c r="AN213" s="188"/>
    </row>
    <row r="214" spans="31:40">
      <c r="AE214" s="8">
        <f t="shared" si="89"/>
        <v>17</v>
      </c>
      <c r="AF214" s="8" t="s">
        <v>637</v>
      </c>
      <c r="AG214" s="8"/>
      <c r="AH214" s="188"/>
      <c r="AI214" s="188"/>
      <c r="AJ214" s="188">
        <f>ROUND(+AI214*120%,0)</f>
        <v>0</v>
      </c>
      <c r="AK214" s="188">
        <f>ROUND(AJ214*20/120,0)</f>
        <v>0</v>
      </c>
      <c r="AL214" s="188">
        <f>AJ214-AK214</f>
        <v>0</v>
      </c>
      <c r="AM214" s="188">
        <f t="shared" si="90"/>
        <v>0</v>
      </c>
      <c r="AN214" s="188"/>
    </row>
    <row r="215" spans="31:40">
      <c r="AE215" s="8">
        <f t="shared" si="89"/>
        <v>18</v>
      </c>
      <c r="AF215" s="8" t="s">
        <v>646</v>
      </c>
      <c r="AG215" s="8"/>
      <c r="AH215" s="188"/>
      <c r="AI215" s="188"/>
      <c r="AJ215" s="188">
        <f>ROUND(+AI215*120%,0)</f>
        <v>0</v>
      </c>
      <c r="AK215" s="188">
        <f>ROUND(AJ215*20/120,0)</f>
        <v>0</v>
      </c>
      <c r="AL215" s="188">
        <f>AJ215-AK215</f>
        <v>0</v>
      </c>
      <c r="AM215" s="188">
        <f t="shared" si="90"/>
        <v>0</v>
      </c>
      <c r="AN215" s="188"/>
    </row>
    <row r="216" spans="31:40">
      <c r="AE216" s="8">
        <f t="shared" si="89"/>
        <v>19</v>
      </c>
      <c r="AF216" s="8" t="s">
        <v>647</v>
      </c>
      <c r="AG216" s="8"/>
      <c r="AH216" s="188"/>
      <c r="AI216" s="188"/>
      <c r="AJ216" s="188">
        <f>ROUND(+AI216*120%,0)</f>
        <v>0</v>
      </c>
      <c r="AK216" s="188">
        <f>ROUND(AJ216*20/120,0)</f>
        <v>0</v>
      </c>
      <c r="AL216" s="188">
        <f>AJ216-AK216</f>
        <v>0</v>
      </c>
      <c r="AM216" s="188">
        <f t="shared" si="90"/>
        <v>0</v>
      </c>
      <c r="AN216" s="188"/>
    </row>
    <row r="217" spans="31:40">
      <c r="AE217" s="8">
        <f t="shared" si="89"/>
        <v>20</v>
      </c>
      <c r="AF217" s="8" t="s">
        <v>634</v>
      </c>
      <c r="AG217" s="207"/>
      <c r="AH217" s="188"/>
      <c r="AI217" s="188"/>
      <c r="AJ217" s="188">
        <f>ROUND(+AI217*120%,0)</f>
        <v>0</v>
      </c>
      <c r="AK217" s="188">
        <f>ROUND(AJ217*20/120,0)</f>
        <v>0</v>
      </c>
      <c r="AL217" s="188">
        <f>AJ217-AK217</f>
        <v>0</v>
      </c>
      <c r="AM217" s="188">
        <f t="shared" si="90"/>
        <v>0</v>
      </c>
      <c r="AN217" s="188"/>
    </row>
    <row r="218" spans="31:40">
      <c r="AE218" s="8">
        <f t="shared" si="89"/>
        <v>21</v>
      </c>
      <c r="AF218" s="8" t="s">
        <v>390</v>
      </c>
      <c r="AG218" s="8"/>
      <c r="AH218" s="188"/>
      <c r="AI218" s="188"/>
      <c r="AJ218" s="188">
        <f>ROUND(+AI218*120%,0)</f>
        <v>0</v>
      </c>
      <c r="AK218" s="188">
        <f>ROUND(AJ218*20/120,0)</f>
        <v>0</v>
      </c>
      <c r="AL218" s="188">
        <f>AJ218-AK218</f>
        <v>0</v>
      </c>
      <c r="AM218" s="188">
        <f t="shared" si="90"/>
        <v>0</v>
      </c>
      <c r="AN218" s="188"/>
    </row>
    <row r="219" spans="31:40">
      <c r="AE219" s="8"/>
      <c r="AF219" s="31" t="s">
        <v>685</v>
      </c>
      <c r="AG219" s="31"/>
      <c r="AH219" s="52">
        <f t="shared" ref="AH219:AN219" si="91">AH204+AH205+AH206+AH207+AH210+AH211+AH212+AH213+AH214+AH215+AH216+AH217+AH218</f>
        <v>78.099999999999994</v>
      </c>
      <c r="AI219" s="52">
        <f t="shared" si="91"/>
        <v>4423917.3</v>
      </c>
      <c r="AJ219" s="52">
        <f t="shared" si="91"/>
        <v>5281052</v>
      </c>
      <c r="AK219" s="52">
        <f t="shared" si="91"/>
        <v>857135</v>
      </c>
      <c r="AL219" s="52">
        <f t="shared" si="91"/>
        <v>4423917</v>
      </c>
      <c r="AM219" s="52">
        <f t="shared" si="91"/>
        <v>-0.29999999981373549</v>
      </c>
      <c r="AN219" s="52">
        <f t="shared" si="91"/>
        <v>0</v>
      </c>
    </row>
    <row r="220" spans="31:40">
      <c r="AE220" s="8"/>
      <c r="AF220" s="31" t="s">
        <v>433</v>
      </c>
      <c r="AG220" s="31"/>
      <c r="AH220" s="40" t="s">
        <v>251</v>
      </c>
      <c r="AI220" s="52">
        <f t="shared" ref="AI220:AN220" si="92">AI203+AI219</f>
        <v>11799808.441999998</v>
      </c>
      <c r="AJ220" s="52">
        <f t="shared" si="92"/>
        <v>19031416.141999997</v>
      </c>
      <c r="AK220" s="52">
        <f t="shared" si="92"/>
        <v>7231608</v>
      </c>
      <c r="AL220" s="52">
        <f t="shared" si="92"/>
        <v>11799808.141999999</v>
      </c>
      <c r="AM220" s="52">
        <f t="shared" si="92"/>
        <v>-0.29999999981373549</v>
      </c>
      <c r="AN220" s="52">
        <f t="shared" si="92"/>
        <v>0</v>
      </c>
    </row>
    <row r="221" spans="31:40">
      <c r="AH221" s="42"/>
      <c r="AI221" s="42"/>
      <c r="AJ221" s="42"/>
      <c r="AK221" s="42"/>
      <c r="AL221" s="42"/>
      <c r="AM221" s="42"/>
      <c r="AN221" s="42"/>
    </row>
    <row r="222" spans="31:40" ht="13.8">
      <c r="AF222" s="76" t="s">
        <v>552</v>
      </c>
      <c r="AH222" s="42"/>
      <c r="AI222" s="42"/>
      <c r="AJ222" s="42"/>
      <c r="AK222" s="42"/>
      <c r="AL222" s="42"/>
      <c r="AM222" s="42"/>
      <c r="AN222" s="42"/>
    </row>
    <row r="223" spans="31:40" ht="13.8">
      <c r="AF223" s="76" t="s">
        <v>522</v>
      </c>
      <c r="AI223" s="42"/>
      <c r="AJ223" s="42"/>
      <c r="AK223" s="42"/>
      <c r="AL223" s="42"/>
      <c r="AM223" s="42"/>
      <c r="AN223" s="42"/>
    </row>
    <row r="224" spans="31:40">
      <c r="AJ224" s="42"/>
      <c r="AK224" s="103"/>
      <c r="AL224" s="42"/>
      <c r="AM224" s="42"/>
    </row>
  </sheetData>
  <mergeCells count="44">
    <mergeCell ref="AD3:AM3"/>
    <mergeCell ref="AD2:AM2"/>
    <mergeCell ref="AL5:AM5"/>
    <mergeCell ref="AD5:AD6"/>
    <mergeCell ref="AE5:AE6"/>
    <mergeCell ref="AF5:AF6"/>
    <mergeCell ref="AG5:AG6"/>
    <mergeCell ref="AH5:AH6"/>
    <mergeCell ref="AI5:AI6"/>
    <mergeCell ref="AK5:AK6"/>
    <mergeCell ref="AJ5:AJ6"/>
    <mergeCell ref="AE164:AN164"/>
    <mergeCell ref="AE165:AN165"/>
    <mergeCell ref="AF99:AG99"/>
    <mergeCell ref="X96:AG96"/>
    <mergeCell ref="AM84:AM85"/>
    <mergeCell ref="AD99:AD100"/>
    <mergeCell ref="AE99:AE100"/>
    <mergeCell ref="Z99:Z100"/>
    <mergeCell ref="AA99:AA100"/>
    <mergeCell ref="AB99:AB100"/>
    <mergeCell ref="AC99:AC100"/>
    <mergeCell ref="X97:AG97"/>
    <mergeCell ref="X99:X100"/>
    <mergeCell ref="Y99:Y100"/>
    <mergeCell ref="AE167:AE168"/>
    <mergeCell ref="AF167:AF168"/>
    <mergeCell ref="AG167:AG168"/>
    <mergeCell ref="AO84:AO85"/>
    <mergeCell ref="AP84:AQ84"/>
    <mergeCell ref="AM167:AN167"/>
    <mergeCell ref="AH81:AQ81"/>
    <mergeCell ref="AH82:AQ82"/>
    <mergeCell ref="AH84:AH85"/>
    <mergeCell ref="AI84:AI85"/>
    <mergeCell ref="AJ84:AJ85"/>
    <mergeCell ref="AK84:AK85"/>
    <mergeCell ref="AL84:AL85"/>
    <mergeCell ref="AN84:AN85"/>
    <mergeCell ref="AH167:AH168"/>
    <mergeCell ref="AI167:AI168"/>
    <mergeCell ref="AJ167:AJ168"/>
    <mergeCell ref="AK167:AK168"/>
    <mergeCell ref="AL167:AL168"/>
  </mergeCells>
  <phoneticPr fontId="5" type="noConversion"/>
  <pageMargins left="0.82" right="0.19685039370078741" top="0.32" bottom="0.22" header="0.15748031496062992" footer="0.19685039370078741"/>
  <pageSetup paperSize="9" scale="85" fitToHeight="1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6">
    <tabColor rgb="FF00B0F0"/>
    <pageSetUpPr fitToPage="1"/>
  </sheetPr>
  <dimension ref="A2:G23"/>
  <sheetViews>
    <sheetView workbookViewId="0">
      <selection activeCell="D16" sqref="D16"/>
    </sheetView>
  </sheetViews>
  <sheetFormatPr defaultColWidth="9.109375" defaultRowHeight="13.2"/>
  <cols>
    <col min="1" max="1" width="32.88671875" customWidth="1"/>
    <col min="2" max="3" width="15.5546875" style="42" customWidth="1"/>
    <col min="4" max="4" width="19.33203125" style="42" customWidth="1"/>
    <col min="5" max="5" width="23.109375" style="42" customWidth="1"/>
    <col min="7" max="7" width="10.88671875" customWidth="1"/>
  </cols>
  <sheetData>
    <row r="2" spans="1:7" ht="21" customHeight="1">
      <c r="A2" s="315" t="s">
        <v>550</v>
      </c>
      <c r="B2" s="315"/>
      <c r="C2" s="315"/>
      <c r="D2" s="315"/>
      <c r="E2" s="315"/>
    </row>
    <row r="3" spans="1:7" ht="15.6">
      <c r="A3" s="316" t="s">
        <v>164</v>
      </c>
      <c r="B3" s="316"/>
      <c r="C3" s="316"/>
      <c r="D3" s="316"/>
      <c r="E3" s="316"/>
    </row>
    <row r="4" spans="1:7" ht="17.399999999999999">
      <c r="A4" s="317" t="s">
        <v>239</v>
      </c>
      <c r="B4" s="317"/>
      <c r="C4" s="317"/>
      <c r="D4" s="317"/>
      <c r="E4" s="317"/>
    </row>
    <row r="5" spans="1:7" ht="24.6" customHeight="1"/>
    <row r="6" spans="1:7" ht="18" customHeight="1">
      <c r="A6" s="12"/>
      <c r="B6" s="180"/>
      <c r="C6" s="181"/>
      <c r="D6" s="181"/>
      <c r="E6" s="182"/>
    </row>
    <row r="7" spans="1:7" ht="18" customHeight="1">
      <c r="A7" s="21"/>
      <c r="B7" s="55" t="s">
        <v>513</v>
      </c>
      <c r="C7" s="57"/>
      <c r="D7" s="183" t="s">
        <v>554</v>
      </c>
      <c r="E7" s="184" t="s">
        <v>615</v>
      </c>
    </row>
    <row r="8" spans="1:7" ht="18" customHeight="1">
      <c r="A8" s="15"/>
      <c r="B8" s="185" t="s">
        <v>332</v>
      </c>
      <c r="C8" s="41" t="s">
        <v>541</v>
      </c>
      <c r="D8" s="41" t="s">
        <v>542</v>
      </c>
      <c r="E8" s="41" t="s">
        <v>247</v>
      </c>
    </row>
    <row r="9" spans="1:7" ht="18" customHeight="1">
      <c r="A9" s="106" t="s">
        <v>165</v>
      </c>
      <c r="B9" s="41">
        <v>2258926</v>
      </c>
      <c r="C9" s="41">
        <v>29903236.565032497</v>
      </c>
      <c r="D9" s="41">
        <v>33839695.306458332</v>
      </c>
      <c r="E9" s="41">
        <v>3936458.7414258309</v>
      </c>
    </row>
    <row r="10" spans="1:7" ht="18" customHeight="1">
      <c r="A10" s="106" t="s">
        <v>441</v>
      </c>
      <c r="B10" s="41">
        <f>B9</f>
        <v>2258926</v>
      </c>
      <c r="C10" s="41">
        <f>C9</f>
        <v>29903236.565032497</v>
      </c>
      <c r="D10" s="41">
        <f>D9</f>
        <v>33839695.306458332</v>
      </c>
      <c r="E10" s="41">
        <f>E9</f>
        <v>3936458.7414258309</v>
      </c>
    </row>
    <row r="11" spans="1:7" ht="18" customHeight="1">
      <c r="A11" s="106" t="s">
        <v>225</v>
      </c>
      <c r="B11" s="41"/>
      <c r="C11" s="41"/>
      <c r="D11" s="41"/>
      <c r="E11" s="41"/>
    </row>
    <row r="12" spans="1:7" ht="18" customHeight="1">
      <c r="A12" s="106" t="s">
        <v>220</v>
      </c>
      <c r="B12" s="41"/>
      <c r="C12" s="41"/>
      <c r="D12" s="41"/>
      <c r="E12" s="41"/>
    </row>
    <row r="13" spans="1:7" ht="18" customHeight="1">
      <c r="A13" s="106" t="s">
        <v>221</v>
      </c>
      <c r="B13" s="41">
        <v>32158450</v>
      </c>
      <c r="C13" s="41" t="e">
        <f>#REF!</f>
        <v>#REF!</v>
      </c>
      <c r="D13" s="41">
        <v>28950400</v>
      </c>
      <c r="E13" s="41" t="e">
        <f>D13-C13</f>
        <v>#REF!</v>
      </c>
      <c r="F13" s="186"/>
      <c r="G13" s="42"/>
    </row>
    <row r="14" spans="1:7" ht="18" customHeight="1">
      <c r="A14" s="106" t="s">
        <v>222</v>
      </c>
      <c r="B14" s="41">
        <v>32500000</v>
      </c>
      <c r="C14" s="41" t="e">
        <f>#REF!+#REF!-#REF!</f>
        <v>#REF!</v>
      </c>
      <c r="D14" s="41">
        <f>'25 АПК'!AK41</f>
        <v>60241210.858979993</v>
      </c>
      <c r="E14" s="41" t="e">
        <f>D14-C14</f>
        <v>#REF!</v>
      </c>
      <c r="F14" s="186"/>
      <c r="G14" s="42"/>
    </row>
    <row r="15" spans="1:7" ht="18" customHeight="1">
      <c r="A15" s="106" t="s">
        <v>177</v>
      </c>
      <c r="B15" s="41">
        <f>B9+B13+B12-B14</f>
        <v>1917376</v>
      </c>
      <c r="C15" s="41" t="e">
        <f>C9+C13+C12-C14</f>
        <v>#REF!</v>
      </c>
      <c r="D15" s="41">
        <f>D9+D13+D12-D14</f>
        <v>2548884.4474783391</v>
      </c>
      <c r="E15" s="41" t="e">
        <f>E9+E13+E12-E14</f>
        <v>#REF!</v>
      </c>
    </row>
    <row r="16" spans="1:7" ht="18" customHeight="1">
      <c r="A16" s="106" t="s">
        <v>441</v>
      </c>
      <c r="B16" s="41">
        <f>B15</f>
        <v>1917376</v>
      </c>
      <c r="C16" s="41" t="e">
        <f>C15</f>
        <v>#REF!</v>
      </c>
      <c r="D16" s="41">
        <f>D15</f>
        <v>2548884.4474783391</v>
      </c>
      <c r="E16" s="41" t="e">
        <f>E15</f>
        <v>#REF!</v>
      </c>
    </row>
    <row r="17" spans="1:5" ht="18" customHeight="1">
      <c r="A17" s="13" t="s">
        <v>225</v>
      </c>
      <c r="B17" s="41"/>
      <c r="C17" s="41"/>
      <c r="D17" s="41"/>
      <c r="E17" s="41"/>
    </row>
    <row r="18" spans="1:5">
      <c r="C18" s="272" t="e">
        <f>#REF!</f>
        <v>#REF!</v>
      </c>
    </row>
    <row r="19" spans="1:5">
      <c r="C19" s="272" t="e">
        <f>C16-C18</f>
        <v>#REF!</v>
      </c>
      <c r="D19" s="187"/>
    </row>
    <row r="20" spans="1:5">
      <c r="A20" s="9" t="s">
        <v>224</v>
      </c>
      <c r="D20" s="187"/>
    </row>
    <row r="21" spans="1:5">
      <c r="A21" s="9"/>
      <c r="D21" s="187"/>
    </row>
    <row r="22" spans="1:5">
      <c r="A22" s="9" t="s">
        <v>443</v>
      </c>
      <c r="D22" s="187"/>
    </row>
    <row r="23" spans="1:5">
      <c r="A23" s="9"/>
    </row>
  </sheetData>
  <mergeCells count="3">
    <mergeCell ref="A2:E2"/>
    <mergeCell ref="A3:E3"/>
    <mergeCell ref="A4:E4"/>
  </mergeCells>
  <phoneticPr fontId="5" type="noConversion"/>
  <printOptions horizontalCentered="1"/>
  <pageMargins left="0.19685039370078741" right="0.27559055118110237" top="0.59" bottom="0.19685039370078741" header="0.24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7">
    <tabColor rgb="FF00B0F0"/>
  </sheetPr>
  <dimension ref="A2:K35"/>
  <sheetViews>
    <sheetView zoomScale="90" workbookViewId="0"/>
  </sheetViews>
  <sheetFormatPr defaultColWidth="9.109375" defaultRowHeight="13.2"/>
  <cols>
    <col min="1" max="1" width="18.33203125" customWidth="1"/>
    <col min="2" max="3" width="9.33203125" style="42" bestFit="1" customWidth="1"/>
    <col min="4" max="4" width="10.6640625" style="42" customWidth="1"/>
    <col min="5" max="5" width="11.5546875" style="42" customWidth="1"/>
    <col min="6" max="6" width="11.33203125" style="42" customWidth="1"/>
    <col min="7" max="7" width="12.6640625" style="42" customWidth="1"/>
    <col min="8" max="8" width="14.109375" style="42" customWidth="1"/>
    <col min="9" max="9" width="12.44140625" customWidth="1"/>
    <col min="10" max="10" width="16.33203125" customWidth="1"/>
    <col min="11" max="11" width="13.44140625" customWidth="1"/>
  </cols>
  <sheetData>
    <row r="2" spans="1:11" ht="15.6">
      <c r="A2" s="316" t="s">
        <v>660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</row>
    <row r="3" spans="1:11" ht="15.6">
      <c r="A3" s="316" t="s">
        <v>444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</row>
    <row r="4" spans="1:11" ht="15.6">
      <c r="A4" s="316" t="s">
        <v>175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</row>
    <row r="5" spans="1:11">
      <c r="D5" s="212"/>
      <c r="E5" s="212"/>
      <c r="F5" s="212"/>
      <c r="G5" s="212"/>
      <c r="I5" t="s">
        <v>587</v>
      </c>
    </row>
    <row r="6" spans="1:11">
      <c r="A6" s="12" t="s">
        <v>421</v>
      </c>
      <c r="B6" s="50" t="s">
        <v>340</v>
      </c>
      <c r="C6" s="46"/>
      <c r="D6" s="50" t="s">
        <v>575</v>
      </c>
      <c r="E6" s="46"/>
      <c r="F6" s="50" t="s">
        <v>236</v>
      </c>
      <c r="G6" s="195"/>
      <c r="H6" s="46"/>
      <c r="I6" s="22" t="s">
        <v>237</v>
      </c>
      <c r="J6" s="28"/>
      <c r="K6" s="23"/>
    </row>
    <row r="7" spans="1:11">
      <c r="A7" s="21" t="s">
        <v>537</v>
      </c>
      <c r="B7" s="51" t="s">
        <v>351</v>
      </c>
      <c r="C7" s="48"/>
      <c r="D7" s="51" t="s">
        <v>416</v>
      </c>
      <c r="E7" s="48"/>
      <c r="F7" s="51" t="s">
        <v>417</v>
      </c>
      <c r="G7" s="202"/>
      <c r="H7" s="48"/>
      <c r="I7" s="29" t="s">
        <v>571</v>
      </c>
      <c r="J7" s="30"/>
      <c r="K7" s="16"/>
    </row>
    <row r="8" spans="1:11">
      <c r="A8" s="15" t="s">
        <v>572</v>
      </c>
      <c r="B8" s="45"/>
      <c r="C8" s="45"/>
      <c r="D8" s="45"/>
      <c r="E8" s="45"/>
      <c r="F8" s="45" t="s">
        <v>259</v>
      </c>
      <c r="G8" s="45" t="s">
        <v>260</v>
      </c>
      <c r="H8" s="45" t="s">
        <v>327</v>
      </c>
      <c r="I8" s="12" t="s">
        <v>259</v>
      </c>
      <c r="J8" s="12" t="s">
        <v>260</v>
      </c>
      <c r="K8" s="12" t="s">
        <v>327</v>
      </c>
    </row>
    <row r="9" spans="1:11">
      <c r="A9" s="8"/>
      <c r="B9" s="44" t="s">
        <v>310</v>
      </c>
      <c r="C9" s="44" t="s">
        <v>311</v>
      </c>
      <c r="D9" s="44" t="s">
        <v>310</v>
      </c>
      <c r="E9" s="44" t="s">
        <v>311</v>
      </c>
      <c r="F9" s="44" t="s">
        <v>312</v>
      </c>
      <c r="G9" s="44" t="s">
        <v>389</v>
      </c>
      <c r="H9" s="44"/>
      <c r="I9" s="15" t="s">
        <v>312</v>
      </c>
      <c r="J9" s="15" t="s">
        <v>389</v>
      </c>
      <c r="K9" s="15"/>
    </row>
    <row r="10" spans="1:11" ht="18.600000000000001" customHeight="1">
      <c r="A10" s="213" t="s">
        <v>388</v>
      </c>
      <c r="B10" s="188" t="e">
        <f>ROUND(C10*102%,0)</f>
        <v>#REF!</v>
      </c>
      <c r="C10" s="44" t="e">
        <f>#REF!</f>
        <v>#REF!</v>
      </c>
      <c r="D10" s="188" t="e">
        <f>ROUND(E10*101%,0)</f>
        <v>#REF!</v>
      </c>
      <c r="E10" s="188" t="e">
        <f>ROUND(F10*100%,0)+13213</f>
        <v>#REF!</v>
      </c>
      <c r="F10" s="188" t="e">
        <f>ROUND(G10*100%,0)</f>
        <v>#REF!</v>
      </c>
      <c r="G10" s="188" t="e">
        <f>ROUND(H10*100%,0)</f>
        <v>#REF!</v>
      </c>
      <c r="H10" s="44" t="e">
        <f>#REF!</f>
        <v>#REF!</v>
      </c>
      <c r="I10" s="214" t="e">
        <f t="shared" ref="I10:I25" si="0">F10*100/D10</f>
        <v>#REF!</v>
      </c>
      <c r="J10" s="214" t="e">
        <f t="shared" ref="J10:J25" si="1">G10*100/E10</f>
        <v>#REF!</v>
      </c>
      <c r="K10" s="214" t="e">
        <f t="shared" ref="K10:K25" si="2">H10*100/E10</f>
        <v>#REF!</v>
      </c>
    </row>
    <row r="11" spans="1:11" ht="18.600000000000001" customHeight="1">
      <c r="A11" s="213" t="s">
        <v>437</v>
      </c>
      <c r="B11" s="188" t="e">
        <f>ROUND(C11*102%,0)</f>
        <v>#REF!</v>
      </c>
      <c r="C11" s="44" t="e">
        <f>#REF!</f>
        <v>#REF!</v>
      </c>
      <c r="D11" s="188" t="e">
        <f>ROUND(E11*101%,0)</f>
        <v>#REF!</v>
      </c>
      <c r="E11" s="188" t="e">
        <f>ROUND(F11*100.5%,0)</f>
        <v>#REF!</v>
      </c>
      <c r="F11" s="188" t="e">
        <f t="shared" ref="F11:G14" si="3">ROUND(G11*100%,0)</f>
        <v>#REF!</v>
      </c>
      <c r="G11" s="188" t="e">
        <f t="shared" si="3"/>
        <v>#REF!</v>
      </c>
      <c r="H11" s="44" t="e">
        <f>#REF!</f>
        <v>#REF!</v>
      </c>
      <c r="I11" s="214" t="e">
        <f t="shared" si="0"/>
        <v>#REF!</v>
      </c>
      <c r="J11" s="214" t="e">
        <f t="shared" si="1"/>
        <v>#REF!</v>
      </c>
      <c r="K11" s="214" t="e">
        <f t="shared" si="2"/>
        <v>#REF!</v>
      </c>
    </row>
    <row r="12" spans="1:11" ht="18.600000000000001" customHeight="1">
      <c r="A12" s="213" t="s">
        <v>438</v>
      </c>
      <c r="B12" s="188" t="e">
        <f>ROUND(C12*102%,0)</f>
        <v>#REF!</v>
      </c>
      <c r="C12" s="44" t="e">
        <f>#REF!</f>
        <v>#REF!</v>
      </c>
      <c r="D12" s="188" t="e">
        <f>ROUND(E12*101%,0)</f>
        <v>#REF!</v>
      </c>
      <c r="E12" s="188" t="e">
        <f>ROUND(F12*100.5%,0)</f>
        <v>#REF!</v>
      </c>
      <c r="F12" s="188" t="e">
        <f t="shared" si="3"/>
        <v>#REF!</v>
      </c>
      <c r="G12" s="188" t="e">
        <f t="shared" si="3"/>
        <v>#REF!</v>
      </c>
      <c r="H12" s="44" t="e">
        <f>#REF!</f>
        <v>#REF!</v>
      </c>
      <c r="I12" s="214" t="e">
        <f t="shared" si="0"/>
        <v>#REF!</v>
      </c>
      <c r="J12" s="214" t="e">
        <f t="shared" si="1"/>
        <v>#REF!</v>
      </c>
      <c r="K12" s="214" t="e">
        <f t="shared" si="2"/>
        <v>#REF!</v>
      </c>
    </row>
    <row r="13" spans="1:11" ht="18.600000000000001" customHeight="1">
      <c r="A13" s="213" t="s">
        <v>381</v>
      </c>
      <c r="B13" s="188" t="e">
        <f>ROUND(C13*102%,0)</f>
        <v>#REF!</v>
      </c>
      <c r="C13" s="44" t="e">
        <f>#REF!</f>
        <v>#REF!</v>
      </c>
      <c r="D13" s="188" t="e">
        <f>ROUND(E13*101%,0)</f>
        <v>#REF!</v>
      </c>
      <c r="E13" s="188" t="e">
        <f>ROUND(F13*100.5%,0)</f>
        <v>#REF!</v>
      </c>
      <c r="F13" s="188" t="e">
        <f t="shared" si="3"/>
        <v>#REF!</v>
      </c>
      <c r="G13" s="188" t="e">
        <f t="shared" si="3"/>
        <v>#REF!</v>
      </c>
      <c r="H13" s="44" t="e">
        <f>#REF!</f>
        <v>#REF!</v>
      </c>
      <c r="I13" s="214" t="e">
        <f t="shared" si="0"/>
        <v>#REF!</v>
      </c>
      <c r="J13" s="214" t="e">
        <f t="shared" si="1"/>
        <v>#REF!</v>
      </c>
      <c r="K13" s="214" t="e">
        <f t="shared" si="2"/>
        <v>#REF!</v>
      </c>
    </row>
    <row r="14" spans="1:11" ht="18.600000000000001" customHeight="1">
      <c r="A14" s="213" t="s">
        <v>382</v>
      </c>
      <c r="B14" s="188" t="e">
        <f>ROUND(C14*102%,0)</f>
        <v>#REF!</v>
      </c>
      <c r="C14" s="44" t="e">
        <f>#REF!</f>
        <v>#REF!</v>
      </c>
      <c r="D14" s="188" t="e">
        <f>ROUND(E14*101%,0)</f>
        <v>#REF!</v>
      </c>
      <c r="E14" s="188" t="e">
        <f>ROUND(F14*100.5%,0)</f>
        <v>#REF!</v>
      </c>
      <c r="F14" s="188" t="e">
        <f t="shared" si="3"/>
        <v>#REF!</v>
      </c>
      <c r="G14" s="188" t="e">
        <f t="shared" si="3"/>
        <v>#REF!</v>
      </c>
      <c r="H14" s="44" t="e">
        <f>#REF!</f>
        <v>#REF!</v>
      </c>
      <c r="I14" s="214" t="e">
        <f t="shared" si="0"/>
        <v>#REF!</v>
      </c>
      <c r="J14" s="214" t="e">
        <f t="shared" si="1"/>
        <v>#REF!</v>
      </c>
      <c r="K14" s="214" t="e">
        <f t="shared" si="2"/>
        <v>#REF!</v>
      </c>
    </row>
    <row r="15" spans="1:11" s="9" customFormat="1" ht="18.600000000000001" customHeight="1">
      <c r="A15" s="69" t="s">
        <v>650</v>
      </c>
      <c r="B15" s="52" t="e">
        <f>SUM(B10:B14)</f>
        <v>#REF!</v>
      </c>
      <c r="C15" s="52" t="e">
        <f>SUM(C10:C14)</f>
        <v>#REF!</v>
      </c>
      <c r="D15" s="52" t="e">
        <f>SUM(D10:D14)</f>
        <v>#REF!</v>
      </c>
      <c r="E15" s="52" t="e">
        <f>SUM(E10:E14)</f>
        <v>#REF!</v>
      </c>
      <c r="F15" s="52" t="e">
        <f>SUM(F10:F14)</f>
        <v>#REF!</v>
      </c>
      <c r="G15" s="52" t="e">
        <f>G10+G11+G12+G13+G14</f>
        <v>#REF!</v>
      </c>
      <c r="H15" s="52" t="e">
        <f>H10+H11+H12+H13+H14</f>
        <v>#REF!</v>
      </c>
      <c r="I15" s="111" t="e">
        <f t="shared" si="0"/>
        <v>#REF!</v>
      </c>
      <c r="J15" s="111" t="e">
        <f t="shared" si="1"/>
        <v>#REF!</v>
      </c>
      <c r="K15" s="111" t="e">
        <f t="shared" si="2"/>
        <v>#REF!</v>
      </c>
    </row>
    <row r="16" spans="1:11" ht="18.600000000000001" customHeight="1">
      <c r="A16" s="8" t="s">
        <v>538</v>
      </c>
      <c r="B16" s="44"/>
      <c r="C16" s="44"/>
      <c r="D16" s="44" t="e">
        <f t="shared" ref="D16:G19" si="4">E16</f>
        <v>#REF!</v>
      </c>
      <c r="E16" s="44" t="e">
        <f t="shared" si="4"/>
        <v>#REF!</v>
      </c>
      <c r="F16" s="44" t="e">
        <f t="shared" si="4"/>
        <v>#REF!</v>
      </c>
      <c r="G16" s="44" t="e">
        <f t="shared" si="4"/>
        <v>#REF!</v>
      </c>
      <c r="H16" s="44" t="e">
        <f>#REF!+#REF!+#REF!+#REF!+#REF!</f>
        <v>#REF!</v>
      </c>
      <c r="I16" s="214" t="e">
        <f t="shared" si="0"/>
        <v>#REF!</v>
      </c>
      <c r="J16" s="214" t="e">
        <f t="shared" si="1"/>
        <v>#REF!</v>
      </c>
      <c r="K16" s="214" t="e">
        <f t="shared" si="2"/>
        <v>#REF!</v>
      </c>
    </row>
    <row r="17" spans="1:11" ht="18.600000000000001" customHeight="1">
      <c r="A17" s="13" t="s">
        <v>209</v>
      </c>
      <c r="B17" s="44"/>
      <c r="C17" s="44"/>
      <c r="D17" s="44" t="e">
        <f t="shared" si="4"/>
        <v>#REF!</v>
      </c>
      <c r="E17" s="44" t="e">
        <f t="shared" si="4"/>
        <v>#REF!</v>
      </c>
      <c r="F17" s="44" t="e">
        <f t="shared" si="4"/>
        <v>#REF!</v>
      </c>
      <c r="G17" s="44" t="e">
        <f t="shared" si="4"/>
        <v>#REF!</v>
      </c>
      <c r="H17" s="44" t="e">
        <f>#REF!</f>
        <v>#REF!</v>
      </c>
      <c r="I17" s="214" t="e">
        <f t="shared" si="0"/>
        <v>#REF!</v>
      </c>
      <c r="J17" s="214" t="e">
        <f t="shared" si="1"/>
        <v>#REF!</v>
      </c>
      <c r="K17" s="214" t="e">
        <f t="shared" si="2"/>
        <v>#REF!</v>
      </c>
    </row>
    <row r="18" spans="1:11" ht="18.600000000000001" customHeight="1">
      <c r="A18" s="8" t="s">
        <v>673</v>
      </c>
      <c r="B18" s="44">
        <f t="shared" ref="B18:H18" si="5">B16+B17</f>
        <v>0</v>
      </c>
      <c r="C18" s="44">
        <f t="shared" si="5"/>
        <v>0</v>
      </c>
      <c r="D18" s="44" t="e">
        <f t="shared" si="5"/>
        <v>#REF!</v>
      </c>
      <c r="E18" s="44" t="e">
        <f t="shared" si="5"/>
        <v>#REF!</v>
      </c>
      <c r="F18" s="44" t="e">
        <f t="shared" si="5"/>
        <v>#REF!</v>
      </c>
      <c r="G18" s="44" t="e">
        <f t="shared" si="5"/>
        <v>#REF!</v>
      </c>
      <c r="H18" s="44" t="e">
        <f t="shared" si="5"/>
        <v>#REF!</v>
      </c>
      <c r="I18" s="214" t="e">
        <f t="shared" si="0"/>
        <v>#REF!</v>
      </c>
      <c r="J18" s="214" t="e">
        <f t="shared" si="1"/>
        <v>#REF!</v>
      </c>
      <c r="K18" s="214" t="e">
        <f t="shared" si="2"/>
        <v>#REF!</v>
      </c>
    </row>
    <row r="19" spans="1:11" ht="18.600000000000001" customHeight="1">
      <c r="A19" s="8" t="s">
        <v>616</v>
      </c>
      <c r="B19" s="44"/>
      <c r="C19" s="44"/>
      <c r="D19" s="44" t="e">
        <f>E19</f>
        <v>#REF!</v>
      </c>
      <c r="E19" s="44" t="e">
        <f>F19</f>
        <v>#REF!</v>
      </c>
      <c r="F19" s="44" t="e">
        <f>G19</f>
        <v>#REF!</v>
      </c>
      <c r="G19" s="44" t="e">
        <f t="shared" si="4"/>
        <v>#REF!</v>
      </c>
      <c r="H19" s="44" t="e">
        <f>#REF!</f>
        <v>#REF!</v>
      </c>
      <c r="I19" s="214" t="e">
        <f t="shared" si="0"/>
        <v>#REF!</v>
      </c>
      <c r="J19" s="214" t="e">
        <f t="shared" si="1"/>
        <v>#REF!</v>
      </c>
      <c r="K19" s="214" t="e">
        <f t="shared" si="2"/>
        <v>#REF!</v>
      </c>
    </row>
    <row r="20" spans="1:11" ht="18.600000000000001" customHeight="1">
      <c r="A20" s="13" t="s">
        <v>324</v>
      </c>
      <c r="B20" s="44"/>
      <c r="C20" s="44"/>
      <c r="D20" s="44"/>
      <c r="E20" s="44"/>
      <c r="F20" s="44"/>
      <c r="G20" s="44"/>
      <c r="H20" s="44"/>
      <c r="I20" s="214" t="e">
        <f t="shared" si="0"/>
        <v>#DIV/0!</v>
      </c>
      <c r="J20" s="214" t="e">
        <f t="shared" si="1"/>
        <v>#DIV/0!</v>
      </c>
      <c r="K20" s="214" t="e">
        <f t="shared" si="2"/>
        <v>#DIV/0!</v>
      </c>
    </row>
    <row r="21" spans="1:11" ht="18.600000000000001" customHeight="1">
      <c r="A21" s="13" t="s">
        <v>355</v>
      </c>
      <c r="B21" s="44"/>
      <c r="C21" s="44"/>
      <c r="D21" s="44"/>
      <c r="E21" s="44"/>
      <c r="F21" s="44"/>
      <c r="G21" s="44"/>
      <c r="H21" s="44"/>
      <c r="I21" s="214" t="e">
        <f t="shared" si="0"/>
        <v>#DIV/0!</v>
      </c>
      <c r="J21" s="214" t="e">
        <f t="shared" si="1"/>
        <v>#DIV/0!</v>
      </c>
      <c r="K21" s="214" t="e">
        <f t="shared" si="2"/>
        <v>#DIV/0!</v>
      </c>
    </row>
    <row r="22" spans="1:11" ht="18.600000000000001" customHeight="1">
      <c r="A22" s="213" t="s">
        <v>350</v>
      </c>
      <c r="B22" s="44"/>
      <c r="C22" s="44"/>
      <c r="D22" s="44"/>
      <c r="E22" s="44"/>
      <c r="F22" s="44"/>
      <c r="G22" s="44"/>
      <c r="H22" s="44"/>
      <c r="I22" s="214" t="e">
        <f t="shared" si="0"/>
        <v>#DIV/0!</v>
      </c>
      <c r="J22" s="214" t="e">
        <f t="shared" si="1"/>
        <v>#DIV/0!</v>
      </c>
      <c r="K22" s="214" t="e">
        <f t="shared" si="2"/>
        <v>#DIV/0!</v>
      </c>
    </row>
    <row r="23" spans="1:11" ht="18.600000000000001" customHeight="1">
      <c r="A23" s="213" t="s">
        <v>325</v>
      </c>
      <c r="B23" s="188">
        <f t="shared" ref="B23:H23" si="6">B19+B20+B21+B22</f>
        <v>0</v>
      </c>
      <c r="C23" s="188">
        <f t="shared" si="6"/>
        <v>0</v>
      </c>
      <c r="D23" s="188" t="e">
        <f t="shared" si="6"/>
        <v>#REF!</v>
      </c>
      <c r="E23" s="188" t="e">
        <f t="shared" si="6"/>
        <v>#REF!</v>
      </c>
      <c r="F23" s="188" t="e">
        <f t="shared" si="6"/>
        <v>#REF!</v>
      </c>
      <c r="G23" s="188" t="e">
        <f t="shared" si="6"/>
        <v>#REF!</v>
      </c>
      <c r="H23" s="188" t="e">
        <f t="shared" si="6"/>
        <v>#REF!</v>
      </c>
      <c r="I23" s="214" t="e">
        <f t="shared" si="0"/>
        <v>#REF!</v>
      </c>
      <c r="J23" s="214" t="e">
        <f t="shared" si="1"/>
        <v>#REF!</v>
      </c>
      <c r="K23" s="214" t="e">
        <f t="shared" si="2"/>
        <v>#REF!</v>
      </c>
    </row>
    <row r="24" spans="1:11">
      <c r="A24" s="8" t="s">
        <v>383</v>
      </c>
      <c r="B24" s="188"/>
      <c r="C24" s="188"/>
      <c r="D24" s="188"/>
      <c r="E24" s="188"/>
      <c r="F24" s="188"/>
      <c r="G24" s="188"/>
      <c r="H24" s="188"/>
      <c r="I24" s="214" t="e">
        <f t="shared" si="0"/>
        <v>#DIV/0!</v>
      </c>
      <c r="J24" s="214" t="e">
        <f t="shared" si="1"/>
        <v>#DIV/0!</v>
      </c>
      <c r="K24" s="214" t="e">
        <f t="shared" si="2"/>
        <v>#DIV/0!</v>
      </c>
    </row>
    <row r="25" spans="1:11">
      <c r="A25" s="8"/>
      <c r="B25" s="188"/>
      <c r="C25" s="188"/>
      <c r="D25" s="188"/>
      <c r="E25" s="188"/>
      <c r="F25" s="188"/>
      <c r="G25" s="188"/>
      <c r="H25" s="188"/>
      <c r="I25" s="214" t="e">
        <f t="shared" si="0"/>
        <v>#DIV/0!</v>
      </c>
      <c r="J25" s="214" t="e">
        <f t="shared" si="1"/>
        <v>#DIV/0!</v>
      </c>
      <c r="K25" s="214" t="e">
        <f t="shared" si="2"/>
        <v>#DIV/0!</v>
      </c>
    </row>
    <row r="26" spans="1:11">
      <c r="A26" s="8"/>
      <c r="B26" s="188"/>
      <c r="C26" s="188"/>
      <c r="D26" s="188"/>
      <c r="E26" s="188"/>
      <c r="F26" s="188"/>
      <c r="G26" s="188"/>
      <c r="H26" s="188"/>
      <c r="I26" s="214"/>
      <c r="J26" s="214"/>
      <c r="K26" s="214"/>
    </row>
    <row r="27" spans="1:11">
      <c r="A27" s="8"/>
      <c r="B27" s="188"/>
      <c r="C27" s="188"/>
      <c r="D27" s="188"/>
      <c r="E27" s="188"/>
      <c r="F27" s="188"/>
      <c r="G27" s="188"/>
      <c r="H27" s="188"/>
      <c r="I27" s="214" t="e">
        <f t="shared" ref="I27:J29" si="7">F27*100/D27</f>
        <v>#DIV/0!</v>
      </c>
      <c r="J27" s="214" t="e">
        <f t="shared" si="7"/>
        <v>#DIV/0!</v>
      </c>
      <c r="K27" s="214" t="e">
        <f>H27*100/E27</f>
        <v>#DIV/0!</v>
      </c>
    </row>
    <row r="28" spans="1:11">
      <c r="A28" s="8" t="s">
        <v>325</v>
      </c>
      <c r="B28" s="188">
        <f t="shared" ref="B28:H28" si="8">B24+B25+B27+B26</f>
        <v>0</v>
      </c>
      <c r="C28" s="188">
        <f t="shared" si="8"/>
        <v>0</v>
      </c>
      <c r="D28" s="188">
        <f t="shared" si="8"/>
        <v>0</v>
      </c>
      <c r="E28" s="188">
        <f t="shared" si="8"/>
        <v>0</v>
      </c>
      <c r="F28" s="188">
        <f t="shared" si="8"/>
        <v>0</v>
      </c>
      <c r="G28" s="188">
        <f t="shared" si="8"/>
        <v>0</v>
      </c>
      <c r="H28" s="188">
        <f t="shared" si="8"/>
        <v>0</v>
      </c>
      <c r="I28" s="214" t="e">
        <f t="shared" si="7"/>
        <v>#DIV/0!</v>
      </c>
      <c r="J28" s="214" t="e">
        <f t="shared" si="7"/>
        <v>#DIV/0!</v>
      </c>
      <c r="K28" s="214" t="e">
        <f>H28*100/E28</f>
        <v>#DIV/0!</v>
      </c>
    </row>
    <row r="29" spans="1:11" s="9" customFormat="1" ht="18" customHeight="1">
      <c r="A29" s="31" t="s">
        <v>593</v>
      </c>
      <c r="B29" s="52" t="e">
        <f t="shared" ref="B29:H29" si="9">+B15+B18+B23+B28</f>
        <v>#REF!</v>
      </c>
      <c r="C29" s="52" t="e">
        <f t="shared" si="9"/>
        <v>#REF!</v>
      </c>
      <c r="D29" s="52" t="e">
        <f t="shared" si="9"/>
        <v>#REF!</v>
      </c>
      <c r="E29" s="52" t="e">
        <f t="shared" si="9"/>
        <v>#REF!</v>
      </c>
      <c r="F29" s="52" t="e">
        <f t="shared" si="9"/>
        <v>#REF!</v>
      </c>
      <c r="G29" s="52" t="e">
        <f t="shared" si="9"/>
        <v>#REF!</v>
      </c>
      <c r="H29" s="52" t="e">
        <f t="shared" si="9"/>
        <v>#REF!</v>
      </c>
      <c r="I29" s="111" t="e">
        <f t="shared" si="7"/>
        <v>#REF!</v>
      </c>
      <c r="J29" s="111" t="e">
        <f t="shared" si="7"/>
        <v>#REF!</v>
      </c>
      <c r="K29" s="111" t="e">
        <f>H29*100/E29</f>
        <v>#REF!</v>
      </c>
    </row>
    <row r="30" spans="1:11">
      <c r="C30" s="209"/>
      <c r="H30" s="189"/>
    </row>
    <row r="31" spans="1:11">
      <c r="C31" s="209"/>
      <c r="E31" s="272">
        <f>'Товар продукц'!D13</f>
        <v>28950400</v>
      </c>
      <c r="F31" s="272"/>
      <c r="G31" s="272"/>
      <c r="H31" s="272" t="e">
        <f>'Товар продукц'!C13</f>
        <v>#REF!</v>
      </c>
    </row>
    <row r="32" spans="1:11">
      <c r="C32" s="209"/>
      <c r="E32" s="272" t="e">
        <f>E31-E29</f>
        <v>#REF!</v>
      </c>
      <c r="F32" s="272"/>
      <c r="G32" s="272"/>
      <c r="H32" s="272" t="e">
        <f>H31-H29</f>
        <v>#REF!</v>
      </c>
    </row>
    <row r="33" spans="1:3" ht="15.6">
      <c r="A33" s="65" t="s">
        <v>212</v>
      </c>
      <c r="C33" s="209"/>
    </row>
    <row r="34" spans="1:3" ht="15.6">
      <c r="A34" s="65"/>
      <c r="C34" s="209"/>
    </row>
    <row r="35" spans="1:3" ht="15.6">
      <c r="A35" s="65" t="s">
        <v>352</v>
      </c>
    </row>
  </sheetData>
  <mergeCells count="3">
    <mergeCell ref="A4:K4"/>
    <mergeCell ref="A2:K2"/>
    <mergeCell ref="A3:K3"/>
  </mergeCells>
  <phoneticPr fontId="5" type="noConversion"/>
  <pageMargins left="0.8" right="0.2" top="0.19685039370078741" bottom="0.27559055118110237" header="0.31496062992125984" footer="0.31496062992125984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8">
    <tabColor rgb="FF00B0F0"/>
  </sheetPr>
  <dimension ref="A2:AA14"/>
  <sheetViews>
    <sheetView workbookViewId="0"/>
  </sheetViews>
  <sheetFormatPr defaultRowHeight="13.2"/>
  <cols>
    <col min="1" max="1" width="16" customWidth="1"/>
    <col min="4" max="8" width="11.44140625" customWidth="1"/>
    <col min="9" max="9" width="10.44140625" customWidth="1"/>
    <col min="10" max="10" width="11" bestFit="1" customWidth="1"/>
    <col min="11" max="11" width="7.88671875" bestFit="1" customWidth="1"/>
    <col min="12" max="12" width="15" customWidth="1"/>
    <col min="13" max="14" width="10.88671875" style="42" customWidth="1"/>
    <col min="15" max="15" width="11" style="42" customWidth="1"/>
    <col min="16" max="20" width="10.88671875" style="42" customWidth="1"/>
    <col min="24" max="24" width="11.6640625" bestFit="1" customWidth="1"/>
    <col min="25" max="25" width="10.109375" bestFit="1" customWidth="1"/>
    <col min="26" max="26" width="9.6640625" bestFit="1" customWidth="1"/>
  </cols>
  <sheetData>
    <row r="2" spans="1:27" ht="15.6">
      <c r="A2" s="316" t="s">
        <v>660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27"/>
      <c r="M2" s="54"/>
      <c r="N2" s="54"/>
    </row>
    <row r="3" spans="1:27" ht="15.6">
      <c r="A3" s="316" t="s">
        <v>444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27"/>
      <c r="M3" s="54"/>
      <c r="N3" s="54"/>
    </row>
    <row r="4" spans="1:27" ht="15.6">
      <c r="A4" s="316" t="s">
        <v>174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27"/>
      <c r="M4" s="54"/>
      <c r="N4" s="54"/>
    </row>
    <row r="5" spans="1:27" ht="15.6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27">
      <c r="A6" s="12" t="s">
        <v>421</v>
      </c>
      <c r="B6" s="25" t="s">
        <v>340</v>
      </c>
      <c r="C6" s="11"/>
      <c r="D6" s="10" t="s">
        <v>575</v>
      </c>
      <c r="E6" s="11"/>
      <c r="F6" s="10" t="s">
        <v>236</v>
      </c>
      <c r="G6" s="25"/>
      <c r="H6" s="11"/>
      <c r="I6" s="10" t="s">
        <v>237</v>
      </c>
      <c r="J6" s="25"/>
      <c r="K6" s="23"/>
      <c r="L6" s="12" t="s">
        <v>421</v>
      </c>
      <c r="M6" s="50" t="s">
        <v>617</v>
      </c>
      <c r="N6" s="46"/>
      <c r="O6" s="50" t="s">
        <v>618</v>
      </c>
      <c r="P6" s="46"/>
      <c r="Q6" s="45" t="s">
        <v>619</v>
      </c>
      <c r="R6" s="55" t="s">
        <v>620</v>
      </c>
      <c r="S6" s="56"/>
      <c r="T6" s="57"/>
      <c r="U6" s="22" t="s">
        <v>237</v>
      </c>
      <c r="V6" s="28"/>
      <c r="W6" s="23"/>
    </row>
    <row r="7" spans="1:27">
      <c r="A7" s="21" t="s">
        <v>663</v>
      </c>
      <c r="B7" s="26" t="s">
        <v>351</v>
      </c>
      <c r="C7" s="14"/>
      <c r="D7" s="13" t="s">
        <v>664</v>
      </c>
      <c r="E7" s="14"/>
      <c r="F7" s="13" t="s">
        <v>417</v>
      </c>
      <c r="G7" s="26"/>
      <c r="H7" s="14"/>
      <c r="I7" s="13" t="s">
        <v>571</v>
      </c>
      <c r="J7" s="26"/>
      <c r="K7" s="16"/>
      <c r="L7" s="21" t="s">
        <v>663</v>
      </c>
      <c r="M7" s="51"/>
      <c r="N7" s="48"/>
      <c r="O7" s="51" t="s">
        <v>409</v>
      </c>
      <c r="P7" s="48"/>
      <c r="Q7" s="47" t="s">
        <v>670</v>
      </c>
      <c r="R7" s="58" t="s">
        <v>547</v>
      </c>
      <c r="S7" s="59"/>
      <c r="T7" s="60"/>
      <c r="U7" s="29" t="s">
        <v>571</v>
      </c>
      <c r="V7" s="30"/>
      <c r="W7" s="16"/>
    </row>
    <row r="8" spans="1:27">
      <c r="A8" s="21" t="s">
        <v>592</v>
      </c>
      <c r="B8" s="11"/>
      <c r="C8" s="12"/>
      <c r="D8" s="12"/>
      <c r="E8" s="12"/>
      <c r="F8" s="12" t="s">
        <v>259</v>
      </c>
      <c r="G8" s="12" t="s">
        <v>260</v>
      </c>
      <c r="H8" s="12" t="s">
        <v>327</v>
      </c>
      <c r="I8" s="12" t="s">
        <v>259</v>
      </c>
      <c r="J8" s="12" t="s">
        <v>260</v>
      </c>
      <c r="K8" s="12" t="s">
        <v>327</v>
      </c>
      <c r="L8" s="15" t="s">
        <v>592</v>
      </c>
      <c r="M8" s="45" t="s">
        <v>548</v>
      </c>
      <c r="N8" s="45" t="s">
        <v>311</v>
      </c>
      <c r="O8" s="45" t="s">
        <v>548</v>
      </c>
      <c r="P8" s="45" t="s">
        <v>311</v>
      </c>
      <c r="Q8" s="47" t="s">
        <v>442</v>
      </c>
      <c r="R8" s="45" t="s">
        <v>259</v>
      </c>
      <c r="S8" s="45" t="s">
        <v>260</v>
      </c>
      <c r="T8" s="45" t="s">
        <v>327</v>
      </c>
      <c r="U8" s="12" t="s">
        <v>259</v>
      </c>
      <c r="V8" s="12" t="s">
        <v>260</v>
      </c>
      <c r="W8" s="12" t="s">
        <v>327</v>
      </c>
    </row>
    <row r="9" spans="1:27">
      <c r="A9" s="15"/>
      <c r="B9" s="14" t="s">
        <v>310</v>
      </c>
      <c r="C9" s="15" t="s">
        <v>311</v>
      </c>
      <c r="D9" s="15" t="s">
        <v>310</v>
      </c>
      <c r="E9" s="15" t="s">
        <v>311</v>
      </c>
      <c r="F9" s="15" t="s">
        <v>312</v>
      </c>
      <c r="G9" s="15" t="s">
        <v>389</v>
      </c>
      <c r="H9" s="15"/>
      <c r="I9" s="15" t="s">
        <v>312</v>
      </c>
      <c r="J9" s="15" t="s">
        <v>389</v>
      </c>
      <c r="K9" s="15"/>
      <c r="L9" s="8"/>
      <c r="M9" s="44"/>
      <c r="N9" s="44"/>
      <c r="O9" s="44"/>
      <c r="P9" s="44"/>
      <c r="Q9" s="44" t="s">
        <v>549</v>
      </c>
      <c r="R9" s="44" t="s">
        <v>312</v>
      </c>
      <c r="S9" s="44" t="s">
        <v>389</v>
      </c>
      <c r="T9" s="44"/>
      <c r="U9" s="15" t="s">
        <v>312</v>
      </c>
      <c r="V9" s="15" t="s">
        <v>389</v>
      </c>
      <c r="W9" s="15"/>
    </row>
    <row r="10" spans="1:27" ht="19.5" customHeight="1">
      <c r="A10" s="94" t="s">
        <v>587</v>
      </c>
      <c r="B10" s="70" t="e">
        <f>'Вспом-1'!B29</f>
        <v>#REF!</v>
      </c>
      <c r="C10" s="70" t="e">
        <f>'Вспом-1'!C29</f>
        <v>#REF!</v>
      </c>
      <c r="D10" s="70" t="e">
        <f>'Вспом-1'!D29</f>
        <v>#REF!</v>
      </c>
      <c r="E10" s="70" t="e">
        <f>'Вспом-1'!E29</f>
        <v>#REF!</v>
      </c>
      <c r="F10" s="70" t="e">
        <f>'Вспом-1'!F29</f>
        <v>#REF!</v>
      </c>
      <c r="G10" s="70" t="e">
        <f>'Вспом-1'!G29</f>
        <v>#REF!</v>
      </c>
      <c r="H10" s="70" t="e">
        <f>'Вспом-1'!H29</f>
        <v>#REF!</v>
      </c>
      <c r="I10" s="71" t="e">
        <f>F10*100/D10</f>
        <v>#REF!</v>
      </c>
      <c r="J10" s="71" t="e">
        <f>G10*100/E10</f>
        <v>#REF!</v>
      </c>
      <c r="K10" s="71" t="e">
        <f>H10*100/E10</f>
        <v>#REF!</v>
      </c>
      <c r="L10" s="38" t="s">
        <v>587</v>
      </c>
      <c r="M10" s="70" t="e">
        <f>N10</f>
        <v>#REF!</v>
      </c>
      <c r="N10" s="70" t="e">
        <f>'Мол нат'!#REF!</f>
        <v>#REF!</v>
      </c>
      <c r="O10" s="70" t="e">
        <f>P10</f>
        <v>#REF!</v>
      </c>
      <c r="P10" s="70" t="e">
        <f>'Мол нат'!#REF!</f>
        <v>#REF!</v>
      </c>
      <c r="Q10" s="70"/>
      <c r="R10" s="70" t="e">
        <f>F10+M10+O10</f>
        <v>#REF!</v>
      </c>
      <c r="S10" s="70" t="e">
        <f>G10+M10+O10</f>
        <v>#REF!</v>
      </c>
      <c r="T10" s="70" t="e">
        <f>H10+N10+P10</f>
        <v>#REF!</v>
      </c>
      <c r="U10" s="93" t="e">
        <f>R10*100/D10</f>
        <v>#REF!</v>
      </c>
      <c r="V10" s="93" t="e">
        <f>S10*100/E10</f>
        <v>#REF!</v>
      </c>
      <c r="W10" s="93" t="e">
        <f>T10*100/E10</f>
        <v>#REF!</v>
      </c>
      <c r="X10" s="42"/>
      <c r="Y10" s="42"/>
      <c r="AA10" s="42"/>
    </row>
    <row r="11" spans="1:27" ht="37.5" customHeight="1">
      <c r="C11" s="39"/>
      <c r="D11" s="68"/>
      <c r="E11" s="68"/>
      <c r="F11" s="68"/>
      <c r="G11" s="68"/>
      <c r="H11" s="68"/>
      <c r="I11" s="73"/>
      <c r="J11" s="73"/>
      <c r="K11" s="73"/>
      <c r="L11" s="39"/>
    </row>
    <row r="12" spans="1:27"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9" t="s">
        <v>224</v>
      </c>
      <c r="N12" s="49"/>
      <c r="O12" s="49"/>
      <c r="P12" s="49"/>
      <c r="Q12" s="49"/>
      <c r="R12" s="9" t="s">
        <v>352</v>
      </c>
      <c r="S12" s="49"/>
      <c r="T12" s="49"/>
    </row>
    <row r="13" spans="1:27">
      <c r="A13" t="s">
        <v>592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27">
      <c r="C14" s="39"/>
      <c r="D14" s="39"/>
      <c r="E14" s="39"/>
      <c r="F14" s="39"/>
      <c r="G14" s="39"/>
      <c r="H14" s="39"/>
      <c r="I14" s="39"/>
      <c r="J14" s="39"/>
      <c r="K14" s="39"/>
      <c r="L14" s="39"/>
    </row>
  </sheetData>
  <mergeCells count="3">
    <mergeCell ref="A2:K2"/>
    <mergeCell ref="A3:K3"/>
    <mergeCell ref="A4:K4"/>
  </mergeCells>
  <phoneticPr fontId="5" type="noConversion"/>
  <pageMargins left="0.93" right="0.74803149606299213" top="0.79" bottom="0.19685039370078741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9">
    <tabColor rgb="FF00B0F0"/>
  </sheetPr>
  <dimension ref="A2:AE27"/>
  <sheetViews>
    <sheetView workbookViewId="0">
      <selection activeCell="Q14" sqref="Q14"/>
    </sheetView>
  </sheetViews>
  <sheetFormatPr defaultColWidth="8.44140625" defaultRowHeight="13.8"/>
  <cols>
    <col min="1" max="1" width="4.6640625" style="292" customWidth="1"/>
    <col min="2" max="2" width="9.33203125" style="74" customWidth="1"/>
    <col min="3" max="3" width="7.33203125" style="74" customWidth="1"/>
    <col min="4" max="4" width="8.44140625" style="74" customWidth="1"/>
    <col min="5" max="5" width="8.44140625" style="74" hidden="1" customWidth="1"/>
    <col min="6" max="6" width="11" style="74" hidden="1" customWidth="1"/>
    <col min="7" max="7" width="6.6640625" style="74" customWidth="1"/>
    <col min="8" max="8" width="4.6640625" style="74" customWidth="1"/>
    <col min="9" max="9" width="6.6640625" style="74" customWidth="1"/>
    <col min="10" max="10" width="4.6640625" style="74" customWidth="1"/>
    <col min="11" max="11" width="6.6640625" style="74" customWidth="1"/>
    <col min="12" max="12" width="4.6640625" style="74" customWidth="1"/>
    <col min="13" max="13" width="6.6640625" style="74" customWidth="1"/>
    <col min="14" max="14" width="4.6640625" style="74" customWidth="1"/>
    <col min="15" max="15" width="5.6640625" style="74" customWidth="1"/>
    <col min="16" max="16" width="4.6640625" style="74" customWidth="1"/>
    <col min="17" max="17" width="5.6640625" style="74" customWidth="1"/>
    <col min="18" max="18" width="4.6640625" style="74" customWidth="1"/>
    <col min="19" max="19" width="5.6640625" style="74" customWidth="1"/>
    <col min="20" max="20" width="4.6640625" style="74" customWidth="1"/>
    <col min="21" max="21" width="5.6640625" style="74" customWidth="1"/>
    <col min="22" max="22" width="4.6640625" style="74" customWidth="1"/>
    <col min="23" max="23" width="5.6640625" style="74" customWidth="1"/>
    <col min="24" max="24" width="4.6640625" style="74" customWidth="1"/>
    <col min="25" max="25" width="5.6640625" style="74" customWidth="1"/>
    <col min="26" max="26" width="4.6640625" style="74" customWidth="1"/>
    <col min="27" max="27" width="5.6640625" style="74" customWidth="1"/>
    <col min="28" max="28" width="4.6640625" style="74" customWidth="1"/>
    <col min="29" max="29" width="5.6640625" style="74" customWidth="1"/>
    <col min="30" max="30" width="4.6640625" style="74" customWidth="1"/>
    <col min="31" max="252" width="9.109375" style="74" customWidth="1"/>
    <col min="253" max="253" width="5.88671875" style="74" customWidth="1"/>
    <col min="254" max="254" width="9.33203125" style="74" customWidth="1"/>
    <col min="255" max="255" width="7.33203125" style="74" customWidth="1"/>
    <col min="256" max="16384" width="8.44140625" style="74"/>
  </cols>
  <sheetData>
    <row r="2" spans="1:31" s="273" customFormat="1">
      <c r="A2" s="319" t="s">
        <v>176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</row>
    <row r="3" spans="1:31" s="273" customFormat="1">
      <c r="A3" s="319" t="s">
        <v>536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</row>
    <row r="4" spans="1:31" s="273" customFormat="1">
      <c r="A4" s="274"/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</row>
    <row r="5" spans="1:31" s="275" customFormat="1" ht="15.75" customHeight="1">
      <c r="A5" s="318" t="s">
        <v>94</v>
      </c>
      <c r="B5" s="318" t="s">
        <v>95</v>
      </c>
      <c r="C5" s="318" t="s">
        <v>686</v>
      </c>
      <c r="D5" s="318" t="s">
        <v>687</v>
      </c>
      <c r="E5" s="311"/>
      <c r="F5" s="311"/>
      <c r="G5" s="318" t="s">
        <v>93</v>
      </c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</row>
    <row r="6" spans="1:31" s="275" customFormat="1" ht="15.75" customHeight="1">
      <c r="A6" s="318"/>
      <c r="B6" s="318"/>
      <c r="C6" s="318"/>
      <c r="D6" s="318"/>
      <c r="E6" s="311"/>
      <c r="F6" s="311"/>
      <c r="G6" s="318" t="s">
        <v>688</v>
      </c>
      <c r="H6" s="318"/>
      <c r="I6" s="318"/>
      <c r="J6" s="318"/>
      <c r="K6" s="318" t="s">
        <v>689</v>
      </c>
      <c r="L6" s="318"/>
      <c r="M6" s="318"/>
      <c r="N6" s="318"/>
      <c r="O6" s="318" t="s">
        <v>690</v>
      </c>
      <c r="P6" s="318"/>
      <c r="Q6" s="318"/>
      <c r="R6" s="318"/>
      <c r="S6" s="318" t="s">
        <v>691</v>
      </c>
      <c r="T6" s="318"/>
      <c r="U6" s="318"/>
      <c r="V6" s="318"/>
      <c r="W6" s="318" t="s">
        <v>692</v>
      </c>
      <c r="X6" s="318"/>
      <c r="Y6" s="318"/>
      <c r="Z6" s="318"/>
      <c r="AA6" s="318" t="s">
        <v>693</v>
      </c>
      <c r="AB6" s="318"/>
      <c r="AC6" s="318"/>
      <c r="AD6" s="318"/>
    </row>
    <row r="7" spans="1:31" s="275" customFormat="1" ht="15.75" customHeight="1">
      <c r="A7" s="318"/>
      <c r="B7" s="318"/>
      <c r="C7" s="318"/>
      <c r="D7" s="318"/>
      <c r="E7" s="311"/>
      <c r="F7" s="311"/>
      <c r="G7" s="318" t="s">
        <v>377</v>
      </c>
      <c r="H7" s="318"/>
      <c r="I7" s="318" t="s">
        <v>694</v>
      </c>
      <c r="J7" s="318"/>
      <c r="K7" s="318" t="s">
        <v>377</v>
      </c>
      <c r="L7" s="318"/>
      <c r="M7" s="318" t="s">
        <v>694</v>
      </c>
      <c r="N7" s="318"/>
      <c r="O7" s="318" t="s">
        <v>377</v>
      </c>
      <c r="P7" s="318"/>
      <c r="Q7" s="318" t="s">
        <v>694</v>
      </c>
      <c r="R7" s="318"/>
      <c r="S7" s="318" t="s">
        <v>377</v>
      </c>
      <c r="T7" s="318"/>
      <c r="U7" s="318" t="s">
        <v>694</v>
      </c>
      <c r="V7" s="318"/>
      <c r="W7" s="318" t="s">
        <v>377</v>
      </c>
      <c r="X7" s="318"/>
      <c r="Y7" s="318" t="s">
        <v>694</v>
      </c>
      <c r="Z7" s="318"/>
      <c r="AA7" s="318" t="s">
        <v>377</v>
      </c>
      <c r="AB7" s="318"/>
      <c r="AC7" s="318" t="s">
        <v>694</v>
      </c>
      <c r="AD7" s="318"/>
    </row>
    <row r="8" spans="1:31" s="275" customFormat="1" ht="15.75" customHeight="1">
      <c r="A8" s="318"/>
      <c r="B8" s="318"/>
      <c r="C8" s="318"/>
      <c r="D8" s="318"/>
      <c r="E8" s="311"/>
      <c r="F8" s="311"/>
      <c r="G8" s="311" t="s">
        <v>695</v>
      </c>
      <c r="H8" s="311" t="s">
        <v>483</v>
      </c>
      <c r="I8" s="311" t="s">
        <v>695</v>
      </c>
      <c r="J8" s="311" t="s">
        <v>483</v>
      </c>
      <c r="K8" s="311" t="s">
        <v>695</v>
      </c>
      <c r="L8" s="311" t="s">
        <v>483</v>
      </c>
      <c r="M8" s="311" t="s">
        <v>695</v>
      </c>
      <c r="N8" s="311" t="s">
        <v>483</v>
      </c>
      <c r="O8" s="311" t="s">
        <v>695</v>
      </c>
      <c r="P8" s="311" t="s">
        <v>483</v>
      </c>
      <c r="Q8" s="311" t="s">
        <v>695</v>
      </c>
      <c r="R8" s="311" t="s">
        <v>483</v>
      </c>
      <c r="S8" s="311" t="s">
        <v>695</v>
      </c>
      <c r="T8" s="311" t="s">
        <v>483</v>
      </c>
      <c r="U8" s="311" t="s">
        <v>695</v>
      </c>
      <c r="V8" s="311" t="s">
        <v>483</v>
      </c>
      <c r="W8" s="311" t="s">
        <v>695</v>
      </c>
      <c r="X8" s="311" t="s">
        <v>483</v>
      </c>
      <c r="Y8" s="311" t="s">
        <v>695</v>
      </c>
      <c r="Z8" s="311" t="s">
        <v>483</v>
      </c>
      <c r="AA8" s="311" t="s">
        <v>695</v>
      </c>
      <c r="AB8" s="311" t="s">
        <v>483</v>
      </c>
      <c r="AC8" s="311" t="s">
        <v>695</v>
      </c>
      <c r="AD8" s="311" t="s">
        <v>483</v>
      </c>
    </row>
    <row r="9" spans="1:31" s="276" customFormat="1" ht="15.75" customHeight="1">
      <c r="A9" s="277">
        <v>1</v>
      </c>
      <c r="B9" s="278">
        <v>6157</v>
      </c>
      <c r="C9" s="278">
        <v>24</v>
      </c>
      <c r="D9" s="278">
        <f>B9-C9</f>
        <v>6133</v>
      </c>
      <c r="E9" s="278">
        <v>3507.5</v>
      </c>
      <c r="F9" s="278">
        <f>D9*E9</f>
        <v>21511497.5</v>
      </c>
      <c r="G9" s="279">
        <v>2108.4605359999996</v>
      </c>
      <c r="H9" s="280">
        <f>G9/D9*100</f>
        <v>34.378942377303105</v>
      </c>
      <c r="I9" s="279">
        <v>2080.6</v>
      </c>
      <c r="J9" s="280">
        <f>I9/D9*100</f>
        <v>33.924669819011896</v>
      </c>
      <c r="K9" s="279">
        <v>3274.122464</v>
      </c>
      <c r="L9" s="280">
        <f>K9/D9*100</f>
        <v>53.385332855046471</v>
      </c>
      <c r="M9" s="279">
        <v>3391</v>
      </c>
      <c r="N9" s="280">
        <f>M9/D9*100</f>
        <v>55.291048426544918</v>
      </c>
      <c r="O9" s="279">
        <v>167.69065599999999</v>
      </c>
      <c r="P9" s="280">
        <f>O9/D9*100</f>
        <v>2.7342353823577366</v>
      </c>
      <c r="Q9" s="279">
        <v>147</v>
      </c>
      <c r="R9" s="280">
        <f>Q9/D9*100</f>
        <v>2.3968693950758193</v>
      </c>
      <c r="S9" s="279">
        <v>13.477904000000001</v>
      </c>
      <c r="T9" s="280">
        <f>S9/D9*100</f>
        <v>0.21976037828142836</v>
      </c>
      <c r="U9" s="279">
        <v>11.7</v>
      </c>
      <c r="V9" s="280">
        <f>U9/D9*100</f>
        <v>0.19077123756725906</v>
      </c>
      <c r="W9" s="279">
        <v>260.51388800000001</v>
      </c>
      <c r="X9" s="280">
        <f>W9/D9*100</f>
        <v>4.2477398989075494</v>
      </c>
      <c r="Y9" s="279">
        <v>312</v>
      </c>
      <c r="Z9" s="280">
        <f>Y9/D9*100</f>
        <v>5.0872330017935754</v>
      </c>
      <c r="AA9" s="279">
        <v>319.73455200000041</v>
      </c>
      <c r="AB9" s="280">
        <f>AA9/D9*100</f>
        <v>5.2133466818848913</v>
      </c>
      <c r="AC9" s="279">
        <v>319</v>
      </c>
      <c r="AD9" s="280">
        <f>AC9/D9*100</f>
        <v>5.2013696396543292</v>
      </c>
    </row>
    <row r="10" spans="1:31" s="276" customFormat="1" ht="15.75" customHeight="1">
      <c r="A10" s="277">
        <v>2</v>
      </c>
      <c r="B10" s="278">
        <v>138</v>
      </c>
      <c r="C10" s="278">
        <v>0.96599999999999986</v>
      </c>
      <c r="D10" s="278">
        <f>B10-C10</f>
        <v>137.03399999999999</v>
      </c>
      <c r="E10" s="278">
        <v>3206.13</v>
      </c>
      <c r="F10" s="278">
        <f>D10*E10</f>
        <v>439348.81841999997</v>
      </c>
      <c r="G10" s="279">
        <v>45.084186000000003</v>
      </c>
      <c r="H10" s="280">
        <f>G10/D10*100</f>
        <v>32.9</v>
      </c>
      <c r="I10" s="279">
        <v>45.1</v>
      </c>
      <c r="J10" s="280">
        <f>I10/D10*100</f>
        <v>32.911540201701769</v>
      </c>
      <c r="K10" s="279">
        <v>70.983611999999994</v>
      </c>
      <c r="L10" s="280">
        <f>K10/D10*100</f>
        <v>51.800000000000004</v>
      </c>
      <c r="M10" s="279">
        <v>78</v>
      </c>
      <c r="N10" s="280">
        <f>M10/D10*100</f>
        <v>56.920180393187096</v>
      </c>
      <c r="O10" s="279">
        <v>4.1110199999999999</v>
      </c>
      <c r="P10" s="280">
        <f>O10/D10*100</f>
        <v>3.0000000000000004</v>
      </c>
      <c r="Q10" s="279">
        <v>3.1</v>
      </c>
      <c r="R10" s="280">
        <f>Q10/D10*100</f>
        <v>2.2622122976779488</v>
      </c>
      <c r="S10" s="279">
        <v>0.54813599999999996</v>
      </c>
      <c r="T10" s="280">
        <f>S10/D10*100</f>
        <v>0.4</v>
      </c>
      <c r="U10" s="279">
        <v>0.5</v>
      </c>
      <c r="V10" s="280">
        <f>U10/D10*100</f>
        <v>0.36487295123837882</v>
      </c>
      <c r="W10" s="279">
        <v>6.4405979999999996</v>
      </c>
      <c r="X10" s="280">
        <f>W10/D10*100</f>
        <v>4.7</v>
      </c>
      <c r="Y10" s="279">
        <v>6.9</v>
      </c>
      <c r="Z10" s="280">
        <f>Y10/D10*100</f>
        <v>5.0352467270896284</v>
      </c>
      <c r="AA10" s="279">
        <v>9.8664479999999983</v>
      </c>
      <c r="AB10" s="280">
        <f>AA10/D10*100</f>
        <v>7.1999999999999993</v>
      </c>
      <c r="AC10" s="279">
        <v>2.9339999999999975</v>
      </c>
      <c r="AD10" s="280">
        <f>AC10/D10*100</f>
        <v>2.1410744778668049</v>
      </c>
    </row>
    <row r="11" spans="1:31" s="276" customFormat="1" ht="15.75" hidden="1" customHeight="1">
      <c r="A11" s="277">
        <v>3</v>
      </c>
      <c r="B11" s="278"/>
      <c r="C11" s="278"/>
      <c r="D11" s="278"/>
      <c r="E11" s="278"/>
      <c r="F11" s="278"/>
      <c r="G11" s="278"/>
      <c r="H11" s="281"/>
      <c r="I11" s="278"/>
      <c r="J11" s="281"/>
      <c r="K11" s="278"/>
      <c r="L11" s="281"/>
      <c r="M11" s="278"/>
      <c r="N11" s="281"/>
      <c r="O11" s="278"/>
      <c r="P11" s="281"/>
      <c r="Q11" s="278"/>
      <c r="R11" s="281"/>
      <c r="S11" s="278"/>
      <c r="T11" s="281"/>
      <c r="U11" s="278"/>
      <c r="V11" s="281"/>
      <c r="W11" s="278"/>
      <c r="X11" s="281"/>
      <c r="Y11" s="278"/>
      <c r="Z11" s="281"/>
      <c r="AA11" s="278"/>
      <c r="AB11" s="281"/>
      <c r="AC11" s="278"/>
      <c r="AD11" s="281"/>
    </row>
    <row r="12" spans="1:31" s="276" customFormat="1" ht="15.75" hidden="1" customHeight="1">
      <c r="A12" s="277">
        <v>4</v>
      </c>
      <c r="B12" s="278"/>
      <c r="C12" s="278"/>
      <c r="D12" s="278"/>
      <c r="E12" s="278"/>
      <c r="F12" s="278"/>
      <c r="G12" s="282"/>
      <c r="H12" s="280"/>
      <c r="I12" s="282"/>
      <c r="J12" s="280"/>
      <c r="K12" s="282"/>
      <c r="L12" s="280"/>
      <c r="M12" s="282"/>
      <c r="N12" s="280"/>
      <c r="O12" s="282"/>
      <c r="P12" s="280"/>
      <c r="Q12" s="282"/>
      <c r="R12" s="280"/>
      <c r="S12" s="282"/>
      <c r="T12" s="280"/>
      <c r="U12" s="282"/>
      <c r="V12" s="280"/>
      <c r="W12" s="282"/>
      <c r="X12" s="280"/>
      <c r="Y12" s="282"/>
      <c r="Z12" s="280"/>
      <c r="AA12" s="282"/>
      <c r="AB12" s="280"/>
      <c r="AC12" s="282"/>
      <c r="AD12" s="280"/>
    </row>
    <row r="13" spans="1:31" s="276" customFormat="1" ht="15.75" hidden="1" customHeight="1">
      <c r="A13" s="277">
        <v>5</v>
      </c>
      <c r="B13" s="278"/>
      <c r="C13" s="278"/>
      <c r="D13" s="278"/>
      <c r="E13" s="278"/>
      <c r="F13" s="278"/>
      <c r="G13" s="278"/>
      <c r="H13" s="281"/>
      <c r="I13" s="278"/>
      <c r="J13" s="281"/>
      <c r="K13" s="278"/>
      <c r="L13" s="281"/>
      <c r="M13" s="278"/>
      <c r="N13" s="281"/>
      <c r="O13" s="278"/>
      <c r="P13" s="281"/>
      <c r="Q13" s="278"/>
      <c r="R13" s="281"/>
      <c r="S13" s="278"/>
      <c r="T13" s="281"/>
      <c r="U13" s="278"/>
      <c r="V13" s="281"/>
      <c r="W13" s="278"/>
      <c r="X13" s="281"/>
      <c r="Y13" s="278"/>
      <c r="Z13" s="281"/>
      <c r="AA13" s="278"/>
      <c r="AB13" s="281"/>
      <c r="AC13" s="278"/>
      <c r="AD13" s="281"/>
    </row>
    <row r="14" spans="1:31" s="276" customFormat="1" ht="15.75" customHeight="1">
      <c r="A14" s="283"/>
      <c r="B14" s="284">
        <f>SUM(B9:B13)</f>
        <v>6295</v>
      </c>
      <c r="C14" s="284">
        <f t="shared" ref="C14:AC14" si="0">SUM(C9:C13)</f>
        <v>24.966000000000001</v>
      </c>
      <c r="D14" s="284">
        <f t="shared" si="0"/>
        <v>6270.0339999999997</v>
      </c>
      <c r="E14" s="284">
        <f t="shared" si="0"/>
        <v>6713.63</v>
      </c>
      <c r="F14" s="284">
        <f t="shared" si="0"/>
        <v>21950846.31842</v>
      </c>
      <c r="G14" s="284">
        <f t="shared" si="0"/>
        <v>2153.5447219999996</v>
      </c>
      <c r="H14" s="285">
        <f>G14/D14*100</f>
        <v>34.346619523913262</v>
      </c>
      <c r="I14" s="284">
        <f t="shared" si="0"/>
        <v>2125.6999999999998</v>
      </c>
      <c r="J14" s="285">
        <f>I14/D14*100</f>
        <v>33.902527482307107</v>
      </c>
      <c r="K14" s="284">
        <f t="shared" si="0"/>
        <v>3345.106076</v>
      </c>
      <c r="L14" s="285">
        <f>K14/D14*100</f>
        <v>53.350684796924554</v>
      </c>
      <c r="M14" s="284">
        <f t="shared" si="0"/>
        <v>3469</v>
      </c>
      <c r="N14" s="285">
        <f>M14/D14*100</f>
        <v>55.326653731064305</v>
      </c>
      <c r="O14" s="284">
        <f t="shared" si="0"/>
        <v>171.80167599999999</v>
      </c>
      <c r="P14" s="285">
        <f>O14/D14*100</f>
        <v>2.7400437700975786</v>
      </c>
      <c r="Q14" s="284">
        <f t="shared" si="0"/>
        <v>150.1</v>
      </c>
      <c r="R14" s="285">
        <f>Q14/D14*100</f>
        <v>2.3939264125202508</v>
      </c>
      <c r="S14" s="284">
        <f t="shared" si="0"/>
        <v>14.02604</v>
      </c>
      <c r="T14" s="285">
        <f>S14/D14*100</f>
        <v>0.22369958440416754</v>
      </c>
      <c r="U14" s="284">
        <f t="shared" si="0"/>
        <v>12.2</v>
      </c>
      <c r="V14" s="285">
        <f>U14/D14*100</f>
        <v>0.19457629735341148</v>
      </c>
      <c r="W14" s="284">
        <f t="shared" si="0"/>
        <v>266.95448600000003</v>
      </c>
      <c r="X14" s="285">
        <f>W14/D14*100</f>
        <v>4.2576242170297647</v>
      </c>
      <c r="Y14" s="284">
        <f t="shared" si="0"/>
        <v>318.89999999999998</v>
      </c>
      <c r="Z14" s="285">
        <f>Y14/D14*100</f>
        <v>5.0860968218035181</v>
      </c>
      <c r="AA14" s="284">
        <f t="shared" si="0"/>
        <v>329.6010000000004</v>
      </c>
      <c r="AB14" s="285">
        <f>AA14/D14*100</f>
        <v>5.2567657527853981</v>
      </c>
      <c r="AC14" s="284">
        <f t="shared" si="0"/>
        <v>321.93399999999997</v>
      </c>
      <c r="AD14" s="285">
        <f>AC14/D14*100</f>
        <v>5.1344857141125546</v>
      </c>
    </row>
    <row r="15" spans="1:31" s="273" customFormat="1" ht="15" hidden="1" customHeight="1">
      <c r="A15" s="286"/>
      <c r="B15" s="306" t="s">
        <v>166</v>
      </c>
      <c r="C15" s="301"/>
      <c r="D15" s="301"/>
      <c r="E15" s="301"/>
      <c r="F15" s="301"/>
      <c r="G15" s="301"/>
      <c r="H15" s="302"/>
      <c r="I15" s="284" t="e">
        <f>#REF!</f>
        <v>#REF!</v>
      </c>
      <c r="J15" s="284" t="e">
        <f>I14-I15</f>
        <v>#REF!</v>
      </c>
      <c r="K15" s="284"/>
      <c r="L15" s="284"/>
      <c r="M15" s="284" t="e">
        <f>#REF!+#REF!</f>
        <v>#REF!</v>
      </c>
      <c r="N15" s="284" t="e">
        <f>M14-M15</f>
        <v>#REF!</v>
      </c>
      <c r="O15" s="284"/>
      <c r="P15" s="284"/>
      <c r="Q15" s="284" t="e">
        <f>#REF!</f>
        <v>#REF!</v>
      </c>
      <c r="R15" s="284" t="e">
        <f>Q14-Q15</f>
        <v>#REF!</v>
      </c>
      <c r="S15" s="284"/>
      <c r="T15" s="284"/>
      <c r="U15" s="284" t="e">
        <f>#REF!</f>
        <v>#REF!</v>
      </c>
      <c r="V15" s="284" t="e">
        <f>U14-U15</f>
        <v>#REF!</v>
      </c>
      <c r="W15" s="284"/>
      <c r="X15" s="284"/>
      <c r="Y15" s="284" t="e">
        <f>#REF!</f>
        <v>#REF!</v>
      </c>
      <c r="Z15" s="284" t="e">
        <f>Y14-Y15</f>
        <v>#REF!</v>
      </c>
      <c r="AA15" s="284"/>
      <c r="AB15" s="284"/>
      <c r="AC15" s="284"/>
      <c r="AD15" s="284"/>
    </row>
    <row r="16" spans="1:31" s="273" customFormat="1" ht="15" hidden="1" customHeight="1">
      <c r="A16" s="287">
        <v>1</v>
      </c>
      <c r="B16" s="288">
        <v>14019.758</v>
      </c>
      <c r="C16" s="289">
        <v>56.079032000000005</v>
      </c>
      <c r="D16" s="288">
        <v>13963.678967999998</v>
      </c>
      <c r="E16" s="278">
        <v>3507.5</v>
      </c>
      <c r="F16" s="278">
        <f>C16*E16</f>
        <v>196697.20474000002</v>
      </c>
      <c r="G16" s="288">
        <v>4803.2643865799982</v>
      </c>
      <c r="H16" s="289">
        <f t="shared" ref="H16:H21" si="1">+G16/D16*100</f>
        <v>34.398272816121356</v>
      </c>
      <c r="I16" s="288">
        <v>4803.3280000000004</v>
      </c>
      <c r="J16" s="289">
        <f t="shared" ref="J16:J21" si="2">+I16/D16*100</f>
        <v>34.398728379588171</v>
      </c>
      <c r="K16" s="289">
        <v>7432.1119996440011</v>
      </c>
      <c r="L16" s="289">
        <f t="shared" ref="L16:L21" si="3">+K16/D16*100</f>
        <v>53.22459802087883</v>
      </c>
      <c r="M16" s="288">
        <v>7664.8594726118308</v>
      </c>
      <c r="N16" s="289">
        <f t="shared" ref="N16:N21" si="4">+M16/D16*100</f>
        <v>54.891404265144459</v>
      </c>
      <c r="O16" s="288">
        <v>382.85692498799989</v>
      </c>
      <c r="P16" s="289">
        <f t="shared" ref="P16:P21" si="5">+O16/D16*100</f>
        <v>2.7418055504239085</v>
      </c>
      <c r="Q16" s="288">
        <v>399.14251774978987</v>
      </c>
      <c r="R16" s="289">
        <f t="shared" ref="R16:R21" si="6">+Q16/D16*100</f>
        <v>2.8584337885774138</v>
      </c>
      <c r="S16" s="288">
        <v>34.51518579599999</v>
      </c>
      <c r="T16" s="289">
        <f t="shared" ref="T16:T21" si="7">+S16/D16*100</f>
        <v>0.24717831078111327</v>
      </c>
      <c r="U16" s="288">
        <v>34.459056595999982</v>
      </c>
      <c r="V16" s="289">
        <f t="shared" ref="V16:V21" si="8">+U16/D16*100</f>
        <v>0.24677634508046492</v>
      </c>
      <c r="W16" s="288">
        <v>572.4810722279999</v>
      </c>
      <c r="X16" s="289">
        <f t="shared" ref="X16:X21" si="9">+W16/D16*100</f>
        <v>4.0997868365488186</v>
      </c>
      <c r="Y16" s="288">
        <v>323.40721503421793</v>
      </c>
      <c r="Z16" s="303">
        <f t="shared" ref="Z16:Z21" si="10">+Y16/D16*100</f>
        <v>2.3160602286500374</v>
      </c>
      <c r="AA16" s="290">
        <v>738.44939876399985</v>
      </c>
      <c r="AB16" s="303">
        <f t="shared" ref="AB16:AB21" si="11">+AA16/D16*100</f>
        <v>5.2883584652459756</v>
      </c>
      <c r="AC16" s="290">
        <v>738.48270600816113</v>
      </c>
      <c r="AD16" s="303">
        <f t="shared" ref="AD16:AD21" si="12">+AC16/D16*100</f>
        <v>5.2885969929594649</v>
      </c>
      <c r="AE16" s="309">
        <f>D16-I16-M16-Q16-U16-Y16-AC16</f>
        <v>-9.0949470177292824E-13</v>
      </c>
    </row>
    <row r="17" spans="1:31" s="273" customFormat="1" ht="15" hidden="1" customHeight="1">
      <c r="A17" s="287">
        <v>2</v>
      </c>
      <c r="B17" s="288">
        <v>564.899</v>
      </c>
      <c r="C17" s="289">
        <v>3.9542929999999994</v>
      </c>
      <c r="D17" s="288">
        <v>560.94470699999988</v>
      </c>
      <c r="E17" s="278">
        <v>3206.13</v>
      </c>
      <c r="F17" s="278">
        <f>C17*E17</f>
        <v>12677.977416089998</v>
      </c>
      <c r="G17" s="288">
        <v>185.49737393699999</v>
      </c>
      <c r="H17" s="289">
        <f t="shared" si="1"/>
        <v>33.068744855275014</v>
      </c>
      <c r="I17" s="288">
        <v>185.541</v>
      </c>
      <c r="J17" s="289">
        <f t="shared" si="2"/>
        <v>33.076522103630445</v>
      </c>
      <c r="K17" s="289">
        <v>289.990575267</v>
      </c>
      <c r="L17" s="289">
        <f t="shared" si="3"/>
        <v>51.696819962506581</v>
      </c>
      <c r="M17" s="288">
        <v>299.11657867065259</v>
      </c>
      <c r="N17" s="289">
        <f t="shared" si="4"/>
        <v>53.323718886726681</v>
      </c>
      <c r="O17" s="288">
        <v>16.926254982</v>
      </c>
      <c r="P17" s="289">
        <f t="shared" si="5"/>
        <v>3.0174551557004001</v>
      </c>
      <c r="Q17" s="288">
        <v>17.64892143845649</v>
      </c>
      <c r="R17" s="289">
        <f t="shared" si="6"/>
        <v>3.1462854035730285</v>
      </c>
      <c r="S17" s="288">
        <v>2.5568121480000001</v>
      </c>
      <c r="T17" s="289">
        <f t="shared" si="7"/>
        <v>0.45580466596683666</v>
      </c>
      <c r="U17" s="288">
        <v>2.5603899617549994</v>
      </c>
      <c r="V17" s="289">
        <f t="shared" si="8"/>
        <v>0.4564424852938313</v>
      </c>
      <c r="W17" s="288">
        <v>25.667420487000001</v>
      </c>
      <c r="X17" s="289">
        <f t="shared" si="9"/>
        <v>4.5757487621681054</v>
      </c>
      <c r="Y17" s="288">
        <v>15.866069433165897</v>
      </c>
      <c r="Z17" s="303">
        <f t="shared" si="10"/>
        <v>2.8284551463226304</v>
      </c>
      <c r="AA17" s="290">
        <v>40.306270179000009</v>
      </c>
      <c r="AB17" s="303">
        <f t="shared" si="11"/>
        <v>7.185426598383077</v>
      </c>
      <c r="AC17" s="290">
        <v>40.211747495970073</v>
      </c>
      <c r="AD17" s="303">
        <f t="shared" si="12"/>
        <v>7.1685759744534119</v>
      </c>
      <c r="AE17" s="309">
        <f>D17-I17-M17-Q17-U17-Y17-AC17</f>
        <v>-1.6342482922482304E-13</v>
      </c>
    </row>
    <row r="18" spans="1:31" s="273" customFormat="1" ht="15" hidden="1" customHeight="1">
      <c r="A18" s="287">
        <v>3</v>
      </c>
      <c r="B18" s="288">
        <v>445.23599999999999</v>
      </c>
      <c r="C18" s="289">
        <v>5.7880680000000009</v>
      </c>
      <c r="D18" s="288">
        <v>439.44793199999998</v>
      </c>
      <c r="E18" s="288">
        <v>2808.57</v>
      </c>
      <c r="F18" s="278">
        <f>C18*E18</f>
        <v>16256.194142760003</v>
      </c>
      <c r="G18" s="288">
        <v>134.14141708800003</v>
      </c>
      <c r="H18" s="289">
        <f t="shared" si="1"/>
        <v>30.524985401000826</v>
      </c>
      <c r="I18" s="288">
        <v>134.202</v>
      </c>
      <c r="J18" s="289">
        <f t="shared" si="2"/>
        <v>30.538771542108428</v>
      </c>
      <c r="K18" s="289">
        <v>214.94506597199998</v>
      </c>
      <c r="L18" s="289">
        <f t="shared" si="3"/>
        <v>48.912521898498774</v>
      </c>
      <c r="M18" s="288">
        <v>221.70938719813884</v>
      </c>
      <c r="N18" s="289">
        <f t="shared" si="4"/>
        <v>50.451798962644531</v>
      </c>
      <c r="O18" s="288">
        <v>14.857648553999999</v>
      </c>
      <c r="P18" s="289">
        <f t="shared" si="5"/>
        <v>3.380980423865096</v>
      </c>
      <c r="Q18" s="288">
        <v>15.491995859013027</v>
      </c>
      <c r="R18" s="289">
        <f t="shared" si="6"/>
        <v>3.5253313830620159</v>
      </c>
      <c r="S18" s="288">
        <v>4.5009391139999995</v>
      </c>
      <c r="T18" s="289">
        <f t="shared" si="7"/>
        <v>1.0242258038433549</v>
      </c>
      <c r="U18" s="288">
        <v>4.4887030183800007</v>
      </c>
      <c r="V18" s="289">
        <f t="shared" si="8"/>
        <v>1.0214413794032828</v>
      </c>
      <c r="W18" s="288">
        <v>24.751695821999995</v>
      </c>
      <c r="X18" s="289">
        <f t="shared" si="9"/>
        <v>5.6324524521826618</v>
      </c>
      <c r="Y18" s="288">
        <v>17.408983484085418</v>
      </c>
      <c r="Z18" s="303">
        <f t="shared" si="10"/>
        <v>3.9615577219476865</v>
      </c>
      <c r="AA18" s="290">
        <v>46.251165449999995</v>
      </c>
      <c r="AB18" s="303">
        <f t="shared" si="11"/>
        <v>10.524834020609294</v>
      </c>
      <c r="AC18" s="290">
        <v>46.146862440382684</v>
      </c>
      <c r="AD18" s="303">
        <f t="shared" si="12"/>
        <v>10.501099010834048</v>
      </c>
      <c r="AE18" s="309">
        <f>D18-I18-M18-Q18-U18-Y18-AC18</f>
        <v>0</v>
      </c>
    </row>
    <row r="19" spans="1:31" s="273" customFormat="1" ht="15" hidden="1" customHeight="1">
      <c r="A19" s="287">
        <v>4</v>
      </c>
      <c r="B19" s="288">
        <v>58.238999999999997</v>
      </c>
      <c r="C19" s="289">
        <v>1.5724530000000001</v>
      </c>
      <c r="D19" s="288">
        <v>56.666547000000001</v>
      </c>
      <c r="E19" s="288">
        <v>2090.39</v>
      </c>
      <c r="F19" s="278">
        <f>C19*E19</f>
        <v>3287.0400266699999</v>
      </c>
      <c r="G19" s="288">
        <v>16.015633515000001</v>
      </c>
      <c r="H19" s="289">
        <f t="shared" si="1"/>
        <v>28.262942358213571</v>
      </c>
      <c r="I19" s="288">
        <v>15.599</v>
      </c>
      <c r="J19" s="289">
        <f t="shared" si="2"/>
        <v>27.527705190859784</v>
      </c>
      <c r="K19" s="289">
        <v>26.740098868</v>
      </c>
      <c r="L19" s="289">
        <f t="shared" si="3"/>
        <v>47.188509418087534</v>
      </c>
      <c r="M19" s="288">
        <v>27.581609779375963</v>
      </c>
      <c r="N19" s="289">
        <f t="shared" si="4"/>
        <v>48.67353180947476</v>
      </c>
      <c r="O19" s="288">
        <v>2.1123606210000001</v>
      </c>
      <c r="P19" s="289">
        <f t="shared" si="5"/>
        <v>3.7277030855612221</v>
      </c>
      <c r="Q19" s="288">
        <v>2.2025478577135948</v>
      </c>
      <c r="R19" s="289">
        <f t="shared" si="6"/>
        <v>3.8868573687992578</v>
      </c>
      <c r="S19" s="288">
        <v>0.77755640899999989</v>
      </c>
      <c r="T19" s="289">
        <f t="shared" si="7"/>
        <v>1.3721612665052625</v>
      </c>
      <c r="U19" s="288">
        <v>0.77366862695500005</v>
      </c>
      <c r="V19" s="289">
        <f t="shared" si="8"/>
        <v>1.3653004601727365</v>
      </c>
      <c r="W19" s="288">
        <v>3.2074186059999996</v>
      </c>
      <c r="X19" s="289">
        <f t="shared" si="9"/>
        <v>5.6601624341077272</v>
      </c>
      <c r="Y19" s="288">
        <v>2.712440775419215</v>
      </c>
      <c r="Z19" s="303">
        <f t="shared" si="10"/>
        <v>4.7866703002376605</v>
      </c>
      <c r="AA19" s="290">
        <v>7.8134789810000003</v>
      </c>
      <c r="AB19" s="303">
        <f t="shared" si="11"/>
        <v>13.788521437524684</v>
      </c>
      <c r="AC19" s="290">
        <v>7.7972799605362271</v>
      </c>
      <c r="AD19" s="303">
        <f t="shared" si="12"/>
        <v>13.759934870455803</v>
      </c>
      <c r="AE19" s="309">
        <f>D19-I19-M19-Q19-U19-Y19-AC19</f>
        <v>0</v>
      </c>
    </row>
    <row r="20" spans="1:31" s="273" customFormat="1" ht="15" hidden="1" customHeight="1">
      <c r="A20" s="287">
        <v>5</v>
      </c>
      <c r="B20" s="288">
        <v>0</v>
      </c>
      <c r="C20" s="289">
        <v>0</v>
      </c>
      <c r="D20" s="288">
        <v>0</v>
      </c>
      <c r="E20" s="288">
        <v>868.86</v>
      </c>
      <c r="F20" s="278">
        <f>C20*E20</f>
        <v>0</v>
      </c>
      <c r="G20" s="288">
        <v>0</v>
      </c>
      <c r="H20" s="289"/>
      <c r="I20" s="288">
        <v>0</v>
      </c>
      <c r="J20" s="289"/>
      <c r="K20" s="289">
        <v>0</v>
      </c>
      <c r="L20" s="289"/>
      <c r="M20" s="288">
        <v>0</v>
      </c>
      <c r="N20" s="289"/>
      <c r="O20" s="288">
        <v>0</v>
      </c>
      <c r="P20" s="289"/>
      <c r="Q20" s="288">
        <v>0</v>
      </c>
      <c r="R20" s="289"/>
      <c r="S20" s="288">
        <v>0</v>
      </c>
      <c r="T20" s="289"/>
      <c r="U20" s="288">
        <v>0</v>
      </c>
      <c r="V20" s="289"/>
      <c r="W20" s="288">
        <v>0</v>
      </c>
      <c r="X20" s="289"/>
      <c r="Y20" s="288">
        <v>0</v>
      </c>
      <c r="Z20" s="303"/>
      <c r="AA20" s="290">
        <v>0</v>
      </c>
      <c r="AB20" s="303"/>
      <c r="AC20" s="290">
        <v>0</v>
      </c>
      <c r="AD20" s="303"/>
      <c r="AE20" s="309">
        <f>D20-I20-M20-Q20-U20-Y20-AC20</f>
        <v>0</v>
      </c>
    </row>
    <row r="21" spans="1:31" s="291" customFormat="1" ht="15" hidden="1" customHeight="1">
      <c r="A21" s="307" t="s">
        <v>167</v>
      </c>
      <c r="B21" s="284">
        <f>SUM(B16:B20)</f>
        <v>15088.132</v>
      </c>
      <c r="C21" s="284">
        <f>SUM(C16:C20)</f>
        <v>67.393845999999996</v>
      </c>
      <c r="D21" s="284">
        <f>SUM(D16:D20)</f>
        <v>15020.738153999999</v>
      </c>
      <c r="E21" s="284"/>
      <c r="F21" s="284">
        <f>SUM(F16:F20)</f>
        <v>228918.41632552003</v>
      </c>
      <c r="G21" s="284">
        <f>SUM(G16:G20)</f>
        <v>5138.9188111199983</v>
      </c>
      <c r="H21" s="302">
        <f t="shared" si="1"/>
        <v>34.212158939416121</v>
      </c>
      <c r="I21" s="304">
        <f>SUM(I16:I20)</f>
        <v>5138.670000000001</v>
      </c>
      <c r="J21" s="302">
        <f t="shared" si="2"/>
        <v>34.210502488731429</v>
      </c>
      <c r="K21" s="304">
        <f>SUM(K16:K20)</f>
        <v>7963.787739751001</v>
      </c>
      <c r="L21" s="302">
        <f t="shared" si="3"/>
        <v>53.018617714404783</v>
      </c>
      <c r="M21" s="304">
        <f>SUM(M16:M20)</f>
        <v>8213.2670482599988</v>
      </c>
      <c r="N21" s="302">
        <f t="shared" si="4"/>
        <v>54.6795168390098</v>
      </c>
      <c r="O21" s="304">
        <f>SUM(O16:O20)</f>
        <v>416.75318914499985</v>
      </c>
      <c r="P21" s="302">
        <f t="shared" si="5"/>
        <v>2.7745187012265382</v>
      </c>
      <c r="Q21" s="304">
        <f>SUM(Q16:Q20)</f>
        <v>434.48598290497296</v>
      </c>
      <c r="R21" s="302">
        <f t="shared" si="6"/>
        <v>2.8925741095438111</v>
      </c>
      <c r="S21" s="304">
        <f>SUM(S16:S20)</f>
        <v>42.350493466999986</v>
      </c>
      <c r="T21" s="302">
        <f t="shared" si="7"/>
        <v>0.2819468193427106</v>
      </c>
      <c r="U21" s="304">
        <f>SUM(U16:U20)</f>
        <v>42.281818203089983</v>
      </c>
      <c r="V21" s="302">
        <f t="shared" si="8"/>
        <v>0.28148961635304454</v>
      </c>
      <c r="W21" s="304">
        <f>SUM(W16:W20)</f>
        <v>626.10760714299988</v>
      </c>
      <c r="X21" s="302">
        <f t="shared" si="9"/>
        <v>4.1682878745627319</v>
      </c>
      <c r="Y21" s="304">
        <f>SUM(Y16:Y20)</f>
        <v>359.39470872688844</v>
      </c>
      <c r="Z21" s="305">
        <f t="shared" si="10"/>
        <v>2.3926567725380541</v>
      </c>
      <c r="AA21" s="304">
        <f>SUM(AA16:AA20)</f>
        <v>832.82031337399985</v>
      </c>
      <c r="AB21" s="305">
        <f t="shared" si="11"/>
        <v>5.5444699510471196</v>
      </c>
      <c r="AC21" s="304">
        <f>SUM(AC16:AC20)</f>
        <v>832.63859590505012</v>
      </c>
      <c r="AD21" s="305">
        <f t="shared" si="12"/>
        <v>5.5432601738238798</v>
      </c>
    </row>
    <row r="22" spans="1:31"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</row>
    <row r="23" spans="1:31">
      <c r="B23" s="294"/>
      <c r="C23" s="294"/>
      <c r="D23" s="294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</row>
    <row r="24" spans="1:31" s="295" customFormat="1" ht="21" customHeight="1">
      <c r="A24" s="292"/>
      <c r="C24" s="296" t="s">
        <v>699</v>
      </c>
      <c r="G24" s="296"/>
      <c r="H24" s="296"/>
      <c r="I24" s="296"/>
      <c r="J24" s="296"/>
      <c r="K24" s="74"/>
      <c r="L24" s="74"/>
      <c r="M24" s="74"/>
      <c r="N24" s="74"/>
      <c r="O24" s="297"/>
      <c r="P24" s="298"/>
      <c r="Q24" s="297"/>
      <c r="R24" s="298"/>
      <c r="S24" s="298"/>
      <c r="T24" s="296"/>
      <c r="U24" s="296"/>
      <c r="V24" s="296"/>
      <c r="W24" s="296"/>
      <c r="X24" s="296"/>
    </row>
    <row r="25" spans="1:31" s="295" customFormat="1" ht="30.75" customHeight="1">
      <c r="A25" s="292"/>
      <c r="C25" s="296" t="s">
        <v>700</v>
      </c>
      <c r="G25" s="296"/>
      <c r="H25" s="296"/>
      <c r="I25" s="296"/>
      <c r="J25" s="296"/>
      <c r="K25" s="74"/>
      <c r="L25" s="74"/>
      <c r="M25" s="74"/>
      <c r="N25" s="74"/>
      <c r="O25" s="297"/>
      <c r="P25" s="298"/>
      <c r="Q25" s="297"/>
      <c r="R25" s="298"/>
      <c r="S25" s="298"/>
      <c r="T25" s="296"/>
      <c r="U25" s="296"/>
      <c r="V25" s="296"/>
      <c r="W25" s="296"/>
      <c r="X25" s="296"/>
    </row>
    <row r="26" spans="1:31" s="295" customFormat="1" ht="30.75" customHeight="1">
      <c r="A26" s="292"/>
      <c r="C26" s="296" t="s">
        <v>701</v>
      </c>
      <c r="G26" s="296"/>
      <c r="H26" s="296"/>
      <c r="I26" s="296"/>
      <c r="J26" s="296"/>
      <c r="K26" s="74"/>
      <c r="L26" s="74"/>
      <c r="M26" s="74"/>
      <c r="N26" s="74"/>
      <c r="O26" s="297"/>
      <c r="P26" s="298"/>
      <c r="Q26" s="297"/>
      <c r="R26" s="298"/>
      <c r="S26" s="298"/>
      <c r="T26" s="296"/>
      <c r="U26" s="296"/>
      <c r="V26" s="296"/>
      <c r="W26" s="296"/>
      <c r="X26" s="296"/>
    </row>
    <row r="27" spans="1:31">
      <c r="D27" s="299"/>
      <c r="E27" s="299"/>
      <c r="F27" s="299"/>
      <c r="G27" s="300"/>
      <c r="H27" s="299"/>
      <c r="I27" s="300"/>
      <c r="J27" s="299"/>
      <c r="O27" s="300"/>
      <c r="P27" s="299"/>
      <c r="Q27" s="300"/>
      <c r="R27" s="299"/>
      <c r="S27" s="300"/>
      <c r="T27" s="299"/>
    </row>
  </sheetData>
  <mergeCells count="25">
    <mergeCell ref="A2:AD2"/>
    <mergeCell ref="A3:AD3"/>
    <mergeCell ref="A5:A8"/>
    <mergeCell ref="B5:B8"/>
    <mergeCell ref="C5:C8"/>
    <mergeCell ref="D5:D8"/>
    <mergeCell ref="G5:AD5"/>
    <mergeCell ref="G6:J6"/>
    <mergeCell ref="K6:N6"/>
    <mergeCell ref="O6:R6"/>
    <mergeCell ref="S6:V6"/>
    <mergeCell ref="W6:Z6"/>
    <mergeCell ref="AA6:AD6"/>
    <mergeCell ref="AC7:AD7"/>
    <mergeCell ref="Y7:Z7"/>
    <mergeCell ref="AA7:AB7"/>
    <mergeCell ref="G7:H7"/>
    <mergeCell ref="I7:J7"/>
    <mergeCell ref="U7:V7"/>
    <mergeCell ref="W7:X7"/>
    <mergeCell ref="K7:L7"/>
    <mergeCell ref="M7:N7"/>
    <mergeCell ref="O7:P7"/>
    <mergeCell ref="Q7:R7"/>
    <mergeCell ref="S7:T7"/>
  </mergeCells>
  <phoneticPr fontId="5" type="noConversion"/>
  <pageMargins left="0.15748031496062992" right="0.15748031496062992" top="0.74803149606299213" bottom="0.23622047244094491" header="0.15748031496062992" footer="0.15748031496062992"/>
  <pageSetup paperSize="9" scale="9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10</vt:i4>
      </vt:variant>
    </vt:vector>
  </HeadingPairs>
  <TitlesOfParts>
    <vt:vector size="32" baseType="lpstr">
      <vt:lpstr>Бух баланс</vt:lpstr>
      <vt:lpstr>Мол нат</vt:lpstr>
      <vt:lpstr>Лист1</vt:lpstr>
      <vt:lpstr>25 АПК</vt:lpstr>
      <vt:lpstr>Товар продукц</vt:lpstr>
      <vt:lpstr>Вспом-1</vt:lpstr>
      <vt:lpstr>Вспом-2</vt:lpstr>
      <vt:lpstr>Баланс продукции</vt:lpstr>
      <vt:lpstr>Вспом-1 Ур</vt:lpstr>
      <vt:lpstr>Вспом-2 Ур</vt:lpstr>
      <vt:lpstr>73-ХЛ</vt:lpstr>
      <vt:lpstr>Отклон</vt:lpstr>
      <vt:lpstr>Тех экон пок</vt:lpstr>
      <vt:lpstr>тола бал</vt:lpstr>
      <vt:lpstr>линт бал.</vt:lpstr>
      <vt:lpstr>улбк бал.</vt:lpstr>
      <vt:lpstr>пух бал.</vt:lpstr>
      <vt:lpstr>техчигит бал</vt:lpstr>
      <vt:lpstr>уругл бал</vt:lpstr>
      <vt:lpstr>уруг олди-берди</vt:lpstr>
      <vt:lpstr>уруг хуж</vt:lpstr>
      <vt:lpstr>Мол натга илова</vt:lpstr>
      <vt:lpstr>'Мол нат'!Заголовки_для_печати</vt:lpstr>
      <vt:lpstr>'Мол натга илова'!Заголовки_для_печати</vt:lpstr>
      <vt:lpstr>'уруг олди-берди'!Заголовки_для_печати</vt:lpstr>
      <vt:lpstr>'уруг хуж'!Заголовки_для_печати</vt:lpstr>
      <vt:lpstr>'73-ХЛ'!Область_печати</vt:lpstr>
      <vt:lpstr>'Вспом-2'!Область_печати</vt:lpstr>
      <vt:lpstr>'Вспом-2 Ур'!Область_печати</vt:lpstr>
      <vt:lpstr>'Мол натга илова'!Область_печати</vt:lpstr>
      <vt:lpstr>Отклон!Область_печати</vt:lpstr>
      <vt:lpstr>'Тех экон пок'!Область_печати</vt:lpstr>
    </vt:vector>
  </TitlesOfParts>
  <Company>demo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2024-04-25T04:28:05Z</cp:lastPrinted>
  <dcterms:created xsi:type="dcterms:W3CDTF">2003-01-11T12:26:56Z</dcterms:created>
  <dcterms:modified xsi:type="dcterms:W3CDTF">2024-06-21T15:48:33Z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C15130A">
    <vt:lpwstr/>
  </property>
  <property fmtid="{D5CDD505-2E9C-101B-9397-08002B2CF9AE}" pid="3" name="IVIDD2510D2">
    <vt:lpwstr/>
  </property>
  <property fmtid="{D5CDD505-2E9C-101B-9397-08002B2CF9AE}" pid="4" name="IVID150C0FEC">
    <vt:lpwstr/>
  </property>
  <property fmtid="{D5CDD505-2E9C-101B-9397-08002B2CF9AE}" pid="5" name="IVID3E2312D9">
    <vt:lpwstr/>
  </property>
  <property fmtid="{D5CDD505-2E9C-101B-9397-08002B2CF9AE}" pid="6" name="IVID346E14FF">
    <vt:lpwstr/>
  </property>
  <property fmtid="{D5CDD505-2E9C-101B-9397-08002B2CF9AE}" pid="7" name="IVID55C1E08">
    <vt:lpwstr/>
  </property>
  <property fmtid="{D5CDD505-2E9C-101B-9397-08002B2CF9AE}" pid="8" name="IVID32561AE7">
    <vt:lpwstr/>
  </property>
  <property fmtid="{D5CDD505-2E9C-101B-9397-08002B2CF9AE}" pid="9" name="IVID3E4A12D1">
    <vt:lpwstr/>
  </property>
  <property fmtid="{D5CDD505-2E9C-101B-9397-08002B2CF9AE}" pid="10" name="IVID43841DF3">
    <vt:lpwstr/>
  </property>
  <property fmtid="{D5CDD505-2E9C-101B-9397-08002B2CF9AE}" pid="11" name="IVID2C3F0FFF">
    <vt:lpwstr/>
  </property>
  <property fmtid="{D5CDD505-2E9C-101B-9397-08002B2CF9AE}" pid="12" name="IVID11741200">
    <vt:lpwstr/>
  </property>
  <property fmtid="{D5CDD505-2E9C-101B-9397-08002B2CF9AE}" pid="13" name="IVID19680219">
    <vt:lpwstr/>
  </property>
  <property fmtid="{D5CDD505-2E9C-101B-9397-08002B2CF9AE}" pid="14" name="IVID16ED1760">
    <vt:lpwstr/>
  </property>
  <property fmtid="{D5CDD505-2E9C-101B-9397-08002B2CF9AE}" pid="15" name="IVID2F1807F5">
    <vt:lpwstr/>
  </property>
  <property fmtid="{D5CDD505-2E9C-101B-9397-08002B2CF9AE}" pid="16" name="IVID205312EE">
    <vt:lpwstr/>
  </property>
  <property fmtid="{D5CDD505-2E9C-101B-9397-08002B2CF9AE}" pid="17" name="IVID1F3419F2">
    <vt:lpwstr/>
  </property>
  <property fmtid="{D5CDD505-2E9C-101B-9397-08002B2CF9AE}" pid="18" name="IVIDD3513D6">
    <vt:lpwstr/>
  </property>
  <property fmtid="{D5CDD505-2E9C-101B-9397-08002B2CF9AE}" pid="19" name="IVID102117EF">
    <vt:lpwstr/>
  </property>
  <property fmtid="{D5CDD505-2E9C-101B-9397-08002B2CF9AE}" pid="20" name="IVID1E5018DB">
    <vt:lpwstr/>
  </property>
  <property fmtid="{D5CDD505-2E9C-101B-9397-08002B2CF9AE}" pid="21" name="IVID1B2B0ADE">
    <vt:lpwstr/>
  </property>
  <property fmtid="{D5CDD505-2E9C-101B-9397-08002B2CF9AE}" pid="22" name="IVID1CD5">
    <vt:lpwstr/>
  </property>
  <property fmtid="{D5CDD505-2E9C-101B-9397-08002B2CF9AE}" pid="23" name="IVID13EE4346">
    <vt:lpwstr/>
  </property>
  <property fmtid="{D5CDD505-2E9C-101B-9397-08002B2CF9AE}" pid="24" name="IVID17FC385E">
    <vt:lpwstr/>
  </property>
  <property fmtid="{D5CDD505-2E9C-101B-9397-08002B2CF9AE}" pid="25" name="IVID2F4717EA">
    <vt:lpwstr/>
  </property>
</Properties>
</file>